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4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2020\2Q2020\Investor Kit\"/>
    </mc:Choice>
  </mc:AlternateContent>
  <bookViews>
    <workbookView xWindow="0" yWindow="0" windowWidth="28800" windowHeight="13065" tabRatio="827"/>
  </bookViews>
  <sheets>
    <sheet name="Descripción Negocios" sheetId="2" r:id="rId1"/>
    <sheet name="resumen del ejercicio" sheetId="13" state="hidden" r:id="rId2"/>
    <sheet name="distribucion ingresos Ebitda" sheetId="14" state="hidden" r:id="rId3"/>
    <sheet name="Balance" sheetId="5" r:id="rId4"/>
    <sheet name="EERR" sheetId="4" r:id="rId5"/>
    <sheet name="industria" sheetId="18" state="hidden" r:id="rId6"/>
    <sheet name="Terminales Portuarios" sheetId="15" state="hidden" r:id="rId7"/>
    <sheet name="Log" sheetId="17" state="hidden" r:id="rId8"/>
    <sheet name="Remolcadores" sheetId="6" r:id="rId9"/>
    <sheet name="Terminales Portuarios " sheetId="7" r:id="rId10"/>
    <sheet name="Logística" sheetId="8" r:id="rId11"/>
    <sheet name="Volúmenes Remolcadores" sheetId="9" r:id="rId12"/>
    <sheet name="Volúmenes Terminales Portuarios" sheetId="10" r:id="rId13"/>
    <sheet name="Volúmenes Logística" sheetId="11" r:id="rId14"/>
    <sheet name="Efectivo y Deuda Financiera" sheetId="12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4">EERR!$B$4:$B$26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C28" i="6" l="1"/>
  <c r="D28" i="6"/>
  <c r="F28" i="6"/>
  <c r="E28" i="6"/>
  <c r="C11" i="6"/>
  <c r="D11" i="6"/>
  <c r="F11" i="6"/>
  <c r="E11" i="6"/>
  <c r="D27" i="8"/>
  <c r="E27" i="8"/>
  <c r="D13" i="8"/>
  <c r="E13" i="8"/>
  <c r="G13" i="8"/>
  <c r="F13" i="8"/>
  <c r="G27" i="8"/>
  <c r="F27" i="8"/>
  <c r="D26" i="10" l="1"/>
  <c r="D35" i="10"/>
  <c r="C35" i="10"/>
  <c r="C26" i="10"/>
  <c r="D13" i="10"/>
  <c r="C6" i="9"/>
  <c r="D4" i="10" l="1"/>
  <c r="E67" i="15" l="1"/>
  <c r="F67" i="15"/>
  <c r="E68" i="15"/>
  <c r="F68" i="15"/>
  <c r="E59" i="15"/>
  <c r="F59" i="15"/>
  <c r="E60" i="15"/>
  <c r="F60" i="15"/>
  <c r="J64" i="15"/>
  <c r="J68" i="15" s="1"/>
  <c r="J63" i="15"/>
  <c r="J67" i="15" s="1"/>
  <c r="I64" i="15"/>
  <c r="I68" i="15" s="1"/>
  <c r="I63" i="15"/>
  <c r="I67" i="15" s="1"/>
  <c r="J56" i="15"/>
  <c r="J60" i="15" s="1"/>
  <c r="J55" i="15"/>
  <c r="J59" i="15" s="1"/>
  <c r="I56" i="15"/>
  <c r="I60" i="15" s="1"/>
  <c r="I55" i="15"/>
  <c r="I59" i="15" s="1"/>
  <c r="C64" i="15"/>
  <c r="C68" i="15" s="1"/>
  <c r="C63" i="15"/>
  <c r="C67" i="15" s="1"/>
  <c r="C56" i="15"/>
  <c r="C60" i="15" s="1"/>
  <c r="C55" i="15"/>
  <c r="C59" i="15" s="1"/>
  <c r="G64" i="15"/>
  <c r="G63" i="15"/>
  <c r="D64" i="15"/>
  <c r="D68" i="15" s="1"/>
  <c r="D63" i="15"/>
  <c r="D67" i="15" s="1"/>
  <c r="D56" i="15"/>
  <c r="D60" i="15" s="1"/>
  <c r="D55" i="15"/>
  <c r="D59" i="15" s="1"/>
  <c r="G56" i="15"/>
  <c r="G55" i="15"/>
  <c r="C69" i="15" l="1"/>
  <c r="F61" i="15"/>
  <c r="H55" i="15"/>
  <c r="H59" i="15" s="1"/>
  <c r="D61" i="15"/>
  <c r="D69" i="15"/>
  <c r="E61" i="15"/>
  <c r="E69" i="15"/>
  <c r="F69" i="15"/>
  <c r="H64" i="15"/>
  <c r="H68" i="15" s="1"/>
  <c r="C61" i="15"/>
  <c r="H56" i="15"/>
  <c r="H60" i="15" s="1"/>
  <c r="G68" i="15"/>
  <c r="H63" i="15"/>
  <c r="H67" i="15" s="1"/>
  <c r="G67" i="15"/>
  <c r="G69" i="15" s="1"/>
  <c r="G59" i="15"/>
  <c r="G60" i="15"/>
  <c r="H69" i="15" l="1"/>
  <c r="H61" i="15"/>
  <c r="G61" i="15"/>
  <c r="I20" i="15"/>
  <c r="I21" i="15"/>
  <c r="I22" i="15"/>
  <c r="I19" i="15"/>
  <c r="D21" i="14"/>
  <c r="E20" i="14"/>
  <c r="D20" i="14"/>
  <c r="G35" i="15" l="1"/>
  <c r="N35" i="15"/>
  <c r="N36" i="15" s="1"/>
  <c r="M35" i="15"/>
  <c r="M36" i="15" s="1"/>
  <c r="K35" i="15"/>
  <c r="K36" i="15" s="1"/>
  <c r="L35" i="15"/>
  <c r="D35" i="15"/>
  <c r="E35" i="15"/>
  <c r="F35" i="15"/>
  <c r="H35" i="15"/>
  <c r="C35" i="15"/>
  <c r="L36" i="15" l="1"/>
  <c r="O68" i="13"/>
  <c r="P68" i="13"/>
  <c r="Q68" i="13"/>
  <c r="R68" i="13"/>
  <c r="S68" i="13"/>
  <c r="D77" i="13"/>
  <c r="E77" i="13"/>
  <c r="F77" i="13"/>
  <c r="G77" i="13"/>
  <c r="H77" i="13"/>
  <c r="E6" i="17"/>
  <c r="K7" i="17" s="1"/>
  <c r="D6" i="17"/>
  <c r="J7" i="17" s="1"/>
  <c r="E5" i="17"/>
  <c r="F5" i="17" s="1"/>
  <c r="D5" i="17"/>
  <c r="I76" i="13"/>
  <c r="I75" i="13"/>
  <c r="I72" i="13"/>
  <c r="E4" i="17"/>
  <c r="K4" i="17" s="1"/>
  <c r="I77" i="13" l="1"/>
  <c r="F4" i="17"/>
  <c r="F6" i="17"/>
  <c r="K8" i="17"/>
  <c r="L4" i="17" l="1"/>
  <c r="I73" i="13"/>
  <c r="L7" i="17"/>
  <c r="C21" i="14"/>
  <c r="C7" i="17"/>
  <c r="C6" i="17"/>
  <c r="I7" i="17" s="1"/>
  <c r="C5" i="17"/>
  <c r="G5" i="17" s="1"/>
  <c r="D4" i="17"/>
  <c r="J4" i="17" s="1"/>
  <c r="J8" i="17" s="1"/>
  <c r="C4" i="17"/>
  <c r="I4" i="17" s="1"/>
  <c r="L8" i="17" l="1"/>
  <c r="I8" i="17"/>
  <c r="G6" i="17"/>
  <c r="G4" i="17"/>
  <c r="I7" i="13"/>
  <c r="T68" i="13" s="1"/>
  <c r="I8" i="13"/>
  <c r="C12" i="14"/>
  <c r="I71" i="13"/>
  <c r="I69" i="13" s="1"/>
  <c r="I6" i="13" s="1"/>
  <c r="C4" i="14"/>
  <c r="C30" i="15"/>
  <c r="D30" i="15"/>
  <c r="E30" i="15"/>
  <c r="F30" i="15"/>
  <c r="G30" i="15"/>
  <c r="K30" i="15"/>
  <c r="L30" i="15"/>
  <c r="M30" i="15"/>
  <c r="I30" i="15" l="1"/>
  <c r="H30" i="15"/>
  <c r="L16" i="15" l="1"/>
  <c r="K16" i="15"/>
  <c r="F21" i="14" l="1"/>
  <c r="D22" i="14"/>
  <c r="D23" i="14"/>
  <c r="C22" i="14"/>
  <c r="F22" i="14" s="1"/>
  <c r="I22" i="14" s="1"/>
  <c r="C23" i="14"/>
  <c r="F23" i="14" s="1"/>
  <c r="I23" i="14" s="1"/>
  <c r="C20" i="14"/>
  <c r="F20" i="14" s="1"/>
  <c r="I20" i="14" s="1"/>
  <c r="C8" i="14"/>
  <c r="I21" i="14" l="1"/>
  <c r="F24" i="14"/>
  <c r="C16" i="14"/>
  <c r="I12" i="13"/>
  <c r="I13" i="13"/>
  <c r="R7" i="13" s="1"/>
  <c r="R6" i="13"/>
  <c r="G45" i="13"/>
  <c r="F45" i="13"/>
  <c r="E45" i="13"/>
  <c r="D45" i="13"/>
  <c r="C45" i="13"/>
  <c r="H39" i="13"/>
  <c r="G39" i="13"/>
  <c r="F39" i="13"/>
  <c r="E39" i="13"/>
  <c r="D39" i="13"/>
  <c r="Z20" i="13"/>
  <c r="Y20" i="13"/>
  <c r="X20" i="13"/>
  <c r="W20" i="13"/>
  <c r="H20" i="13"/>
  <c r="G20" i="13"/>
  <c r="F20" i="13"/>
  <c r="E20" i="13"/>
  <c r="D20" i="13"/>
  <c r="H16" i="13"/>
  <c r="G16" i="13"/>
  <c r="H13" i="13"/>
  <c r="Q7" i="13" s="1"/>
  <c r="G13" i="13"/>
  <c r="P7" i="13" s="1"/>
  <c r="F13" i="13"/>
  <c r="O7" i="13" s="1"/>
  <c r="E13" i="13"/>
  <c r="N7" i="13" s="1"/>
  <c r="D13" i="13"/>
  <c r="M7" i="13" s="1"/>
  <c r="H12" i="13"/>
  <c r="G46" i="13" s="1"/>
  <c r="G12" i="13"/>
  <c r="F46" i="13" s="1"/>
  <c r="F12" i="13"/>
  <c r="E46" i="13" s="1"/>
  <c r="E12" i="13"/>
  <c r="D46" i="13" s="1"/>
  <c r="D12" i="13"/>
  <c r="C46" i="13" s="1"/>
  <c r="Q6" i="13"/>
  <c r="P6" i="13"/>
  <c r="O6" i="13"/>
  <c r="N6" i="13"/>
  <c r="M6" i="13"/>
  <c r="S6" i="13" l="1"/>
</calcChain>
</file>

<file path=xl/sharedStrings.xml><?xml version="1.0" encoding="utf-8"?>
<sst xmlns="http://schemas.openxmlformats.org/spreadsheetml/2006/main" count="643" uniqueCount="260">
  <si>
    <t>Terminales Portuarios</t>
  </si>
  <si>
    <t>Remolcadores</t>
  </si>
  <si>
    <t>INICIO</t>
  </si>
  <si>
    <t>Principales Drivers por Negocios</t>
  </si>
  <si>
    <t>División</t>
  </si>
  <si>
    <t>Drivers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</si>
  <si>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</si>
  <si>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</si>
  <si>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</si>
  <si>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</si>
  <si>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</si>
  <si>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</si>
  <si>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</si>
  <si>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</si>
  <si>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</si>
  <si>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</si>
  <si>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</si>
  <si>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</si>
  <si>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</si>
  <si>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</si>
  <si>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</si>
  <si>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</si>
  <si>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</si>
  <si>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</si>
  <si>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</si>
  <si>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</si>
  <si>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</si>
  <si>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</si>
  <si>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</si>
  <si>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</si>
  <si>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</si>
  <si>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</si>
  <si>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</si>
  <si>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</si>
  <si>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</si>
  <si>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</si>
  <si>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</si>
  <si>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</si>
  <si>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</si>
  <si>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</si>
  <si>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</si>
  <si>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</si>
  <si>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</si>
  <si>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</si>
  <si>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</si>
  <si>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</si>
  <si>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</si>
  <si>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</si>
  <si>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</si>
  <si>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</si>
  <si>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</si>
  <si>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</si>
  <si>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</si>
  <si>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</si>
  <si>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</si>
  <si>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</si>
  <si>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</si>
  <si>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</si>
  <si>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</si>
  <si>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</si>
  <si>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</si>
  <si>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</si>
  <si>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</si>
  <si>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</si>
  <si>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</si>
  <si>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</si>
  <si>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</si>
  <si>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</si>
  <si>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</si>
  <si>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</si>
  <si>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</si>
  <si>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Utilidad Controladora</t>
  </si>
  <si>
    <t>Estados de Resultados Consolidados (MUS$)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</si>
  <si>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</si>
  <si>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</si>
  <si>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</si>
  <si>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</si>
  <si>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</si>
  <si>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</si>
  <si>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</si>
  <si>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</si>
  <si>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</si>
  <si>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</si>
  <si>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</si>
  <si>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</si>
  <si>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</si>
  <si>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</si>
  <si>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</si>
  <si>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</si>
  <si>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</si>
  <si>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</si>
  <si>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</si>
  <si>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</si>
  <si>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</si>
  <si>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</si>
  <si>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</si>
  <si>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</si>
  <si>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</si>
  <si>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</si>
  <si>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</si>
  <si>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</si>
  <si>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</si>
  <si>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</si>
  <si>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</si>
  <si>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</si>
  <si>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</si>
  <si>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</si>
  <si>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</si>
  <si>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</si>
  <si>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</si>
  <si>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</si>
  <si>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</si>
  <si>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</si>
  <si>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</si>
  <si>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</si>
  <si>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</si>
  <si>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</si>
  <si>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</si>
  <si>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</si>
  <si>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</si>
  <si>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</si>
  <si>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</si>
  <si>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</si>
  <si>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</si>
  <si>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</si>
  <si>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</si>
  <si>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</si>
  <si>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</si>
  <si>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</si>
  <si>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</si>
  <si>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</si>
  <si>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</si>
  <si>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</si>
  <si>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</si>
  <si>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</si>
  <si>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</si>
  <si>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</si>
  <si>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</si>
  <si>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Participación en las ganancias (perdidas) de asociadas a su valor proporcional</t>
  </si>
  <si>
    <t>Interes Minoritario</t>
  </si>
  <si>
    <t>Coligadas (1)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</si>
  <si>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</si>
  <si>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</si>
  <si>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</si>
  <si>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</si>
  <si>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</si>
  <si>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>Servico de carga / Servicios en Rampa / Servicios a Pasajeros</t>
  </si>
  <si>
    <t>Almacenaje y Transporte</t>
  </si>
  <si>
    <t>(1) Aerosan: Joint Venture con American Airlines (50% de propiedad) en Chile, Ecuador y Colombia</t>
  </si>
  <si>
    <t>Resultado Coligadas (MUS$)(3)</t>
  </si>
  <si>
    <t>(3) Coligadas al 100% operaciones continuadas</t>
  </si>
  <si>
    <t>Resultado Filiales (MUS$) (1)</t>
  </si>
  <si>
    <t>(1) Empresas consolidadas al 100%</t>
  </si>
  <si>
    <t>Resultado Coligadas (MUS$)(2)</t>
  </si>
  <si>
    <t>(2) Coligadas al 100% operaciones continuadas</t>
  </si>
  <si>
    <t>Ingresos por Puerto (MUS$)(1)</t>
  </si>
  <si>
    <t xml:space="preserve">(2) Volúmenes Coligadas al 100% </t>
  </si>
  <si>
    <t xml:space="preserve">Utilidad Controladora </t>
  </si>
  <si>
    <t>(1) SAAM Towage 100% propiedad a partir de 01 Noviembre 2019</t>
  </si>
  <si>
    <t>Brasil (1)</t>
  </si>
  <si>
    <t>1Q2019</t>
  </si>
  <si>
    <t>2Q2019</t>
  </si>
  <si>
    <t>30.12.2019</t>
  </si>
  <si>
    <t>Participación Asociadas</t>
  </si>
  <si>
    <t>1Q2020</t>
  </si>
  <si>
    <t>RAM</t>
  </si>
  <si>
    <t xml:space="preserve">Resumen de resultados últimos 5 años </t>
  </si>
  <si>
    <t>Resultados Consolidados (1)</t>
  </si>
  <si>
    <t>grafico evolucion EBITDA que va con infomacion power point</t>
  </si>
  <si>
    <t>Ingresos</t>
  </si>
  <si>
    <t>MMUS$</t>
  </si>
  <si>
    <t>EBITDA (MMUS$)</t>
  </si>
  <si>
    <t>Mg EBITDA (%)</t>
  </si>
  <si>
    <t xml:space="preserve">Ebitda </t>
  </si>
  <si>
    <t>Utilidad (atribuible a los propietarios de la controladora)</t>
  </si>
  <si>
    <t>Rentabilidad</t>
  </si>
  <si>
    <t>Mg Operacional</t>
  </si>
  <si>
    <t>%</t>
  </si>
  <si>
    <t>Mg Ebitda</t>
  </si>
  <si>
    <t>Balance</t>
  </si>
  <si>
    <t xml:space="preserve">Activos Totales </t>
  </si>
  <si>
    <t>Activos Fijos Totales</t>
  </si>
  <si>
    <t>Deuda Financiera (2)</t>
  </si>
  <si>
    <t>activos fijos</t>
  </si>
  <si>
    <t>Patrimonio Neto</t>
  </si>
  <si>
    <t>prop planta equipo</t>
  </si>
  <si>
    <t>act intang distinto plusvalia</t>
  </si>
  <si>
    <t xml:space="preserve">Capitalización Bursatil </t>
  </si>
  <si>
    <t xml:space="preserve">Número de Acciones </t>
  </si>
  <si>
    <t>Precio Acción (al 31 diciembre)</t>
  </si>
  <si>
    <t>$</t>
  </si>
  <si>
    <t>Dólar cierre (al 31 diciembre)</t>
  </si>
  <si>
    <t>Datos operativos (2)</t>
  </si>
  <si>
    <t xml:space="preserve">Número de países con Operación en América </t>
  </si>
  <si>
    <t>Número de puertos operados</t>
  </si>
  <si>
    <t>Número de remolcadores</t>
  </si>
  <si>
    <t>Número de faenas de remolcadores</t>
  </si>
  <si>
    <t>Miles</t>
  </si>
  <si>
    <t>Número de TEUS transferidos</t>
  </si>
  <si>
    <t>Millones</t>
  </si>
  <si>
    <t>Número de tonaledas transferidas</t>
  </si>
  <si>
    <t>Índicadores ASG</t>
  </si>
  <si>
    <t>Colaboradores Totales (2)</t>
  </si>
  <si>
    <t>Indice de Frecuencia de Accidentes (2)</t>
  </si>
  <si>
    <t xml:space="preserve">(1) : Considera cifras de SM SAAM Consolidado </t>
  </si>
  <si>
    <t>(2): No considera Obligación contrato de concesión</t>
  </si>
  <si>
    <t>ROE</t>
  </si>
  <si>
    <t>Resultado Operacional MMUS$</t>
  </si>
  <si>
    <t>grafico pagina 47</t>
  </si>
  <si>
    <t>LTM</t>
  </si>
  <si>
    <t>Logistica</t>
  </si>
  <si>
    <t>Corporativo</t>
  </si>
  <si>
    <t>12 meses Brasil</t>
  </si>
  <si>
    <t>America del Sur ex Chile</t>
  </si>
  <si>
    <t>America Central</t>
  </si>
  <si>
    <t>America del Norte</t>
  </si>
  <si>
    <t>Puertos</t>
  </si>
  <si>
    <t>Log</t>
  </si>
  <si>
    <t>Ingresos LTM</t>
  </si>
  <si>
    <t>Ram</t>
  </si>
  <si>
    <t>Ubicación</t>
  </si>
  <si>
    <t>Iquique</t>
  </si>
  <si>
    <t>Antofagasta</t>
  </si>
  <si>
    <t>Terminal</t>
  </si>
  <si>
    <t>Florida</t>
  </si>
  <si>
    <t>San Antonio</t>
  </si>
  <si>
    <t>Talcahuano</t>
  </si>
  <si>
    <t>Guayaquil</t>
  </si>
  <si>
    <t>Mazatlán</t>
  </si>
  <si>
    <t>Cartagena de Indias</t>
  </si>
  <si>
    <t>Opción extensión</t>
  </si>
  <si>
    <t>5 años</t>
  </si>
  <si>
    <t>5+5 años</t>
  </si>
  <si>
    <t>Toneladas 2019</t>
  </si>
  <si>
    <t>TEUs 2019</t>
  </si>
  <si>
    <t>LTM Tons</t>
  </si>
  <si>
    <t>12  años</t>
  </si>
  <si>
    <t>Ingresos VP</t>
  </si>
  <si>
    <t>EBITDA VP</t>
  </si>
  <si>
    <t>Distribución Geografica</t>
  </si>
  <si>
    <t>31.03.2020</t>
  </si>
  <si>
    <t>LTM TEUs</t>
  </si>
  <si>
    <t>Abril 2017 vendido 35% de participacion en Tramarsa</t>
  </si>
  <si>
    <t xml:space="preserve">Utilidad </t>
  </si>
  <si>
    <t>Costos no recurrentes/ Efectos extraordinarios</t>
  </si>
  <si>
    <t>LTM (1)</t>
  </si>
  <si>
    <t xml:space="preserve">LTM </t>
  </si>
  <si>
    <t>Propiedad</t>
  </si>
  <si>
    <t>Tipo de carga</t>
  </si>
  <si>
    <t>EBIT</t>
  </si>
  <si>
    <t>Mg EBITDA</t>
  </si>
  <si>
    <t>TEUS</t>
  </si>
  <si>
    <t>Puertos Consolidados</t>
  </si>
  <si>
    <t>Puertos Coligados</t>
  </si>
  <si>
    <t>2Q2020</t>
  </si>
  <si>
    <t>30.06.2020</t>
  </si>
  <si>
    <t>(1) valores al 100%. A partir de Novimebre 2019 se consolida SAAM Towage Brasil</t>
  </si>
  <si>
    <t>6M2019</t>
  </si>
  <si>
    <t>6M2020</t>
  </si>
  <si>
    <t xml:space="preserve">Faenas portuarias + Faenas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</si>
</sst>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9">
    <numFmt numFmtId="8" formatCode="&quot;$&quot;#,##0.00;[Red]&quot;$&quot;\-#,##0.00"/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0"/>
      <color theme="1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937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1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5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0" fontId="16" fillId="0" borderId="0"/>
    <xf numFmtId="0" fontId="16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6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9" fontId="17" fillId="0" borderId="0"/>
    <xf numFmtId="173" fontId="17" fillId="0" borderId="0"/>
    <xf numFmtId="10" fontId="17" fillId="0" borderId="0"/>
    <xf numFmtId="0" fontId="7" fillId="4" borderId="4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1" fontId="20" fillId="0" borderId="0" applyFont="0" applyFill="0" applyBorder="0" applyAlignment="0" applyProtection="0"/>
    <xf numFmtId="0" fontId="21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22" fillId="0" borderId="0">
      <alignment horizontal="right"/>
    </xf>
    <xf numFmtId="176" fontId="7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0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1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88" fontId="31" fillId="7" borderId="6" applyNumberFormat="0" applyAlignment="0" applyProtection="0"/>
    <xf numFmtId="188" fontId="31" fillId="7" borderId="6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7" fillId="0" borderId="0" applyFont="0" applyFill="0" applyBorder="0" applyAlignment="0" applyProtection="0"/>
    <xf numFmtId="197" fontId="7" fillId="0" borderId="0" applyFont="0" applyFill="0" applyBorder="0" applyProtection="0">
      <alignment horizontal="right"/>
    </xf>
    <xf numFmtId="198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8" fontId="20" fillId="0" borderId="0" applyFont="0" applyFill="0" applyBorder="0" applyAlignment="0" applyProtection="0"/>
    <xf numFmtId="19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0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3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0" fontId="34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173" fontId="34" fillId="0" borderId="8" applyNumberFormat="0" applyFill="0" applyAlignment="0" applyProtection="0"/>
    <xf numFmtId="0" fontId="36" fillId="0" borderId="5" applyNumberFormat="0" applyFill="0" applyProtection="0">
      <alignment horizontal="center"/>
    </xf>
    <xf numFmtId="0" fontId="37" fillId="0" borderId="5" applyNumberFormat="0" applyFill="0" applyProtection="0">
      <alignment horizontal="center"/>
    </xf>
    <xf numFmtId="0" fontId="36" fillId="0" borderId="5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3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1" fontId="39" fillId="0" borderId="9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2" fontId="22" fillId="0" borderId="0"/>
    <xf numFmtId="0" fontId="24" fillId="0" borderId="0"/>
    <xf numFmtId="203" fontId="17" fillId="0" borderId="0">
      <alignment horizontal="center"/>
    </xf>
    <xf numFmtId="204" fontId="40" fillId="0" borderId="0">
      <alignment horizontal="left"/>
    </xf>
    <xf numFmtId="205" fontId="41" fillId="0" borderId="0">
      <alignment horizontal="left"/>
    </xf>
    <xf numFmtId="206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1" fontId="39" fillId="0" borderId="9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1" fontId="45" fillId="0" borderId="10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07" fontId="16" fillId="34" borderId="11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08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9" fontId="58" fillId="36" borderId="12"/>
    <xf numFmtId="210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5" fontId="64" fillId="0" borderId="0" applyNumberFormat="0" applyFont="0" applyAlignment="0"/>
    <xf numFmtId="211" fontId="20" fillId="0" borderId="0" applyFont="0" applyFill="0" applyBorder="0" applyAlignment="0" applyProtection="0"/>
    <xf numFmtId="212" fontId="65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3" applyNumberFormat="0" applyFill="0" applyBorder="0" applyAlignment="0" applyProtection="0">
      <protection locked="0"/>
    </xf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6" fontId="68" fillId="0" borderId="0">
      <protection locked="0"/>
    </xf>
    <xf numFmtId="217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09" fontId="58" fillId="0" borderId="12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18" fontId="73" fillId="28" borderId="0"/>
    <xf numFmtId="219" fontId="27" fillId="28" borderId="0"/>
    <xf numFmtId="3" fontId="74" fillId="41" borderId="0"/>
    <xf numFmtId="220" fontId="50" fillId="0" borderId="0"/>
    <xf numFmtId="221" fontId="50" fillId="0" borderId="0"/>
    <xf numFmtId="222" fontId="50" fillId="0" borderId="0"/>
    <xf numFmtId="220" fontId="50" fillId="0" borderId="15"/>
    <xf numFmtId="221" fontId="50" fillId="0" borderId="15"/>
    <xf numFmtId="222" fontId="50" fillId="0" borderId="15"/>
    <xf numFmtId="223" fontId="50" fillId="0" borderId="0"/>
    <xf numFmtId="0" fontId="75" fillId="0" borderId="0" applyFill="0" applyBorder="0" applyAlignment="0"/>
    <xf numFmtId="215" fontId="76" fillId="0" borderId="0" applyFill="0" applyBorder="0" applyAlignment="0"/>
    <xf numFmtId="224" fontId="50" fillId="0" borderId="0"/>
    <xf numFmtId="225" fontId="50" fillId="0" borderId="0"/>
    <xf numFmtId="223" fontId="50" fillId="0" borderId="15"/>
    <xf numFmtId="224" fontId="50" fillId="0" borderId="15"/>
    <xf numFmtId="225" fontId="50" fillId="0" borderId="15"/>
    <xf numFmtId="226" fontId="50" fillId="0" borderId="0">
      <alignment horizontal="right"/>
      <protection locked="0"/>
    </xf>
    <xf numFmtId="227" fontId="50" fillId="0" borderId="0">
      <alignment horizontal="right"/>
      <protection locked="0"/>
    </xf>
    <xf numFmtId="228" fontId="50" fillId="0" borderId="0"/>
    <xf numFmtId="229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0" fontId="50" fillId="0" borderId="0"/>
    <xf numFmtId="231" fontId="50" fillId="0" borderId="0"/>
    <xf numFmtId="228" fontId="50" fillId="0" borderId="15"/>
    <xf numFmtId="232" fontId="50" fillId="0" borderId="15"/>
    <xf numFmtId="231" fontId="50" fillId="0" borderId="15"/>
    <xf numFmtId="0" fontId="75" fillId="0" borderId="0" applyFill="0" applyBorder="0" applyAlignment="0"/>
    <xf numFmtId="233" fontId="7" fillId="0" borderId="0" applyFill="0" applyBorder="0" applyAlignment="0"/>
    <xf numFmtId="215" fontId="76" fillId="0" borderId="0" applyFill="0" applyBorder="0" applyAlignment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4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23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4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5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0" fontId="75" fillId="0" borderId="0" applyFont="0" applyFill="0" applyBorder="0" applyAlignment="0" applyProtection="0"/>
    <xf numFmtId="171" fontId="53" fillId="0" borderId="0"/>
    <xf numFmtId="40" fontId="97" fillId="0" borderId="0" applyFont="0" applyFill="0" applyBorder="0" applyAlignment="0" applyProtection="0">
      <alignment horizontal="center"/>
    </xf>
    <xf numFmtId="237" fontId="16" fillId="0" borderId="0" applyFont="0" applyFill="0" applyBorder="0" applyAlignment="0" applyProtection="0">
      <alignment horizontal="center"/>
    </xf>
    <xf numFmtId="238" fontId="98" fillId="0" borderId="0" applyFont="0" applyFill="0" applyBorder="0" applyAlignment="0" applyProtection="0">
      <alignment horizontal="right"/>
    </xf>
    <xf numFmtId="239" fontId="98" fillId="0" borderId="0" applyFont="0" applyFill="0" applyBorder="0" applyAlignment="0" applyProtection="0"/>
    <xf numFmtId="240" fontId="55" fillId="0" borderId="0" applyFont="0" applyFill="0" applyBorder="0" applyAlignment="0" applyProtection="0"/>
    <xf numFmtId="241" fontId="99" fillId="0" borderId="0" applyFont="0" applyFill="0" applyBorder="0" applyAlignment="0" applyProtection="0"/>
    <xf numFmtId="242" fontId="9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4" fontId="100" fillId="46" borderId="0" applyFill="0" applyBorder="0" applyAlignment="0">
      <protection locked="0"/>
    </xf>
    <xf numFmtId="244" fontId="68" fillId="0" borderId="0" applyFill="0" applyBorder="0" applyAlignment="0">
      <protection locked="0"/>
    </xf>
    <xf numFmtId="206" fontId="16" fillId="0" borderId="0"/>
    <xf numFmtId="245" fontId="95" fillId="0" borderId="0" applyFont="0" applyFill="0" applyBorder="0" applyAlignment="0" applyProtection="0"/>
    <xf numFmtId="171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1" fontId="54" fillId="0" borderId="0"/>
    <xf numFmtId="0" fontId="7" fillId="0" borderId="0"/>
    <xf numFmtId="0" fontId="7" fillId="0" borderId="0"/>
    <xf numFmtId="0" fontId="7" fillId="17" borderId="18" applyNumberFormat="0" applyFont="0" applyAlignment="0" applyProtection="0"/>
    <xf numFmtId="0" fontId="102" fillId="15" borderId="0">
      <alignment vertical="center"/>
    </xf>
    <xf numFmtId="247" fontId="103" fillId="28" borderId="0">
      <alignment horizontal="left"/>
    </xf>
    <xf numFmtId="0" fontId="104" fillId="0" borderId="0" applyFill="0" applyBorder="0" applyAlignment="0" applyProtection="0">
      <protection locked="0"/>
    </xf>
    <xf numFmtId="218" fontId="73" fillId="41" borderId="0">
      <alignment horizontal="right"/>
    </xf>
    <xf numFmtId="37" fontId="105" fillId="47" borderId="10">
      <alignment horizontal="right"/>
    </xf>
    <xf numFmtId="218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48" fontId="109" fillId="0" borderId="0" applyFont="0" applyFill="0" applyBorder="0" applyAlignment="0" applyProtection="0"/>
    <xf numFmtId="249" fontId="16" fillId="0" borderId="0" applyFont="0" applyFill="0" applyBorder="0" applyAlignment="0" applyProtection="0"/>
    <xf numFmtId="166" fontId="68" fillId="0" borderId="0" applyBorder="0"/>
    <xf numFmtId="250" fontId="16" fillId="0" borderId="0" applyFont="0" applyFill="0" applyBorder="0" applyAlignment="0" applyProtection="0"/>
    <xf numFmtId="251" fontId="98" fillId="0" borderId="0" applyFont="0" applyFill="0" applyBorder="0" applyAlignment="0" applyProtection="0">
      <alignment horizontal="right"/>
    </xf>
    <xf numFmtId="252" fontId="99" fillId="0" borderId="0" applyFont="0" applyFill="0" applyBorder="0" applyAlignment="0" applyProtection="0"/>
    <xf numFmtId="253" fontId="99" fillId="0" borderId="0" applyFont="0" applyFill="0" applyBorder="0" applyAlignment="0" applyProtection="0"/>
    <xf numFmtId="254" fontId="99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98" fillId="0" borderId="0" applyFont="0" applyFill="0" applyBorder="0" applyAlignment="0" applyProtection="0">
      <alignment horizontal="right"/>
    </xf>
    <xf numFmtId="257" fontId="95" fillId="0" borderId="0" applyFont="0" applyFill="0" applyBorder="0" applyAlignment="0" applyProtection="0"/>
    <xf numFmtId="25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60" fontId="110" fillId="0" borderId="0" applyFill="0" applyBorder="0">
      <alignment horizontal="right"/>
    </xf>
    <xf numFmtId="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9" applyNumberFormat="0">
      <alignment vertical="center"/>
    </xf>
    <xf numFmtId="209" fontId="58" fillId="34" borderId="0"/>
    <xf numFmtId="281" fontId="7" fillId="0" borderId="0"/>
    <xf numFmtId="0" fontId="111" fillId="13" borderId="4" applyNumberFormat="0" applyAlignment="0" applyProtection="0"/>
    <xf numFmtId="0" fontId="112" fillId="23" borderId="20" applyNumberFormat="0" applyAlignment="0" applyProtection="0"/>
    <xf numFmtId="220" fontId="50" fillId="28" borderId="21">
      <protection locked="0"/>
    </xf>
    <xf numFmtId="221" fontId="50" fillId="28" borderId="21">
      <protection locked="0"/>
    </xf>
    <xf numFmtId="222" fontId="50" fillId="28" borderId="21">
      <protection locked="0"/>
    </xf>
    <xf numFmtId="282" fontId="50" fillId="28" borderId="21">
      <protection locked="0"/>
    </xf>
    <xf numFmtId="283" fontId="50" fillId="28" borderId="21">
      <protection locked="0"/>
    </xf>
    <xf numFmtId="284" fontId="50" fillId="28" borderId="21">
      <protection locked="0"/>
    </xf>
    <xf numFmtId="223" fontId="50" fillId="28" borderId="21">
      <protection locked="0"/>
    </xf>
    <xf numFmtId="226" fontId="50" fillId="49" borderId="21">
      <alignment horizontal="right"/>
      <protection locked="0"/>
    </xf>
    <xf numFmtId="227" fontId="50" fillId="49" borderId="21">
      <alignment horizontal="right"/>
      <protection locked="0"/>
    </xf>
    <xf numFmtId="167" fontId="113" fillId="0" borderId="0" applyNumberFormat="0" applyFill="0" applyBorder="0" applyAlignment="0"/>
    <xf numFmtId="0" fontId="50" fillId="36" borderId="21">
      <alignment horizontal="left"/>
      <protection locked="0"/>
    </xf>
    <xf numFmtId="49" fontId="50" fillId="35" borderId="21">
      <alignment horizontal="left" vertical="top" wrapText="1"/>
      <protection locked="0"/>
    </xf>
    <xf numFmtId="228" fontId="50" fillId="28" borderId="21">
      <protection locked="0"/>
    </xf>
    <xf numFmtId="232" fontId="50" fillId="28" borderId="21">
      <protection locked="0"/>
    </xf>
    <xf numFmtId="231" fontId="50" fillId="28" borderId="21">
      <protection locked="0"/>
    </xf>
    <xf numFmtId="49" fontId="50" fillId="35" borderId="21">
      <alignment horizontal="left"/>
      <protection locked="0"/>
    </xf>
    <xf numFmtId="247" fontId="50" fillId="28" borderId="21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5" fontId="114" fillId="0" borderId="0">
      <protection locked="0"/>
    </xf>
    <xf numFmtId="15" fontId="95" fillId="0" borderId="0" applyFont="0" applyFill="0" applyBorder="0" applyAlignment="0" applyProtection="0"/>
    <xf numFmtId="286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7" fontId="20" fillId="0" borderId="0" applyFont="0" applyFill="0" applyBorder="0" applyAlignment="0" applyProtection="0"/>
    <xf numFmtId="288" fontId="95" fillId="0" borderId="0" applyFont="0" applyFill="0" applyBorder="0" applyAlignment="0" applyProtection="0"/>
    <xf numFmtId="289" fontId="98" fillId="0" borderId="0" applyFont="0" applyFill="0" applyBorder="0" applyAlignment="0" applyProtection="0"/>
    <xf numFmtId="290" fontId="7" fillId="0" borderId="0" applyFont="0" applyFill="0" applyBorder="0" applyProtection="0">
      <alignment horizontal="right"/>
    </xf>
    <xf numFmtId="14" fontId="10" fillId="0" borderId="0"/>
    <xf numFmtId="167" fontId="116" fillId="0" borderId="0"/>
    <xf numFmtId="291" fontId="116" fillId="0" borderId="0"/>
    <xf numFmtId="171" fontId="117" fillId="0" borderId="0"/>
    <xf numFmtId="39" fontId="118" fillId="0" borderId="0"/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52" fillId="0" borderId="0">
      <alignment horizontal="left"/>
    </xf>
    <xf numFmtId="2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0" fontId="64" fillId="0" borderId="0"/>
    <xf numFmtId="167" fontId="20" fillId="0" borderId="0"/>
    <xf numFmtId="167" fontId="16" fillId="0" borderId="0" applyFill="0" applyBorder="0" applyAlignment="0" applyProtection="0"/>
    <xf numFmtId="293" fontId="98" fillId="0" borderId="23" applyNumberFormat="0" applyFont="0" applyFill="0" applyAlignment="0" applyProtection="0"/>
    <xf numFmtId="169" fontId="121" fillId="0" borderId="0" applyFill="0" applyBorder="0" applyAlignment="0" applyProtection="0"/>
    <xf numFmtId="3" fontId="22" fillId="0" borderId="15" applyNumberFormat="0" applyBorder="0"/>
    <xf numFmtId="3" fontId="22" fillId="0" borderId="15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5" fillId="0" borderId="0" applyFont="0" applyFill="0" applyBorder="0" applyAlignment="0" applyProtection="0"/>
    <xf numFmtId="296" fontId="24" fillId="0" borderId="0" applyFont="0" applyFill="0" applyBorder="0" applyAlignment="0" applyProtection="0"/>
    <xf numFmtId="29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125" fillId="0" borderId="0" applyFont="0" applyFill="0" applyBorder="0" applyAlignment="0" applyProtection="0"/>
    <xf numFmtId="297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6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296" fontId="24" fillId="0" borderId="0" applyFont="0" applyFill="0" applyBorder="0" applyAlignment="0" applyProtection="0"/>
    <xf numFmtId="298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6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9" fontId="125" fillId="0" borderId="0" applyFont="0" applyFill="0" applyBorder="0" applyAlignment="0" applyProtection="0"/>
    <xf numFmtId="301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170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6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302" fontId="125" fillId="0" borderId="0" applyFont="0" applyFill="0" applyBorder="0" applyAlignment="0" applyProtection="0"/>
    <xf numFmtId="209" fontId="58" fillId="50" borderId="0"/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3" fillId="13" borderId="4" applyNumberFormat="0" applyAlignment="0" applyProtection="0"/>
    <xf numFmtId="0" fontId="133" fillId="13" borderId="4" applyNumberFormat="0" applyAlignment="0" applyProtection="0"/>
    <xf numFmtId="0" fontId="132" fillId="13" borderId="4" applyNumberFormat="0" applyAlignment="0" applyProtection="0"/>
    <xf numFmtId="0" fontId="134" fillId="0" borderId="0">
      <alignment horizontal="center"/>
    </xf>
    <xf numFmtId="0" fontId="135" fillId="0" borderId="0"/>
    <xf numFmtId="260" fontId="135" fillId="0" borderId="0"/>
    <xf numFmtId="171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4" fontId="136" fillId="28" borderId="0" applyAlignment="0" applyProtection="0">
      <alignment horizontal="center" wrapText="1"/>
    </xf>
    <xf numFmtId="305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243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3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4" fontId="139" fillId="0" borderId="0" applyBorder="0">
      <alignment horizontal="right" vertical="top"/>
    </xf>
    <xf numFmtId="315" fontId="27" fillId="0" borderId="0" applyBorder="0">
      <alignment horizontal="right" vertical="top"/>
    </xf>
    <xf numFmtId="315" fontId="139" fillId="0" borderId="0" applyBorder="0">
      <alignment horizontal="right" vertical="top"/>
    </xf>
    <xf numFmtId="316" fontId="27" fillId="0" borderId="0" applyFill="0" applyBorder="0">
      <alignment horizontal="right" vertical="top"/>
    </xf>
    <xf numFmtId="317" fontId="140" fillId="0" borderId="0" applyFill="0">
      <alignment horizontal="right" vertical="top"/>
    </xf>
    <xf numFmtId="318" fontId="27" fillId="0" borderId="0" applyFill="0" applyBorder="0">
      <alignment horizontal="right" vertical="top"/>
    </xf>
    <xf numFmtId="319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9">
      <alignment horizontal="right" wrapText="1"/>
    </xf>
    <xf numFmtId="193" fontId="141" fillId="0" borderId="9">
      <alignment horizontal="right"/>
    </xf>
    <xf numFmtId="193" fontId="142" fillId="0" borderId="24">
      <alignment horizontal="right" wrapText="1"/>
    </xf>
    <xf numFmtId="193" fontId="142" fillId="0" borderId="24">
      <alignment horizontal="right" wrapText="1"/>
    </xf>
    <xf numFmtId="201" fontId="39" fillId="0" borderId="9">
      <alignment horizontal="left"/>
    </xf>
    <xf numFmtId="0" fontId="143" fillId="0" borderId="0">
      <alignment vertical="center"/>
    </xf>
    <xf numFmtId="320" fontId="143" fillId="0" borderId="0">
      <alignment horizontal="left" vertical="center"/>
    </xf>
    <xf numFmtId="321" fontId="144" fillId="0" borderId="0">
      <alignment vertical="center"/>
    </xf>
    <xf numFmtId="0" fontId="104" fillId="0" borderId="0">
      <alignment vertical="center"/>
    </xf>
    <xf numFmtId="201" fontId="39" fillId="0" borderId="9">
      <alignment horizontal="left"/>
    </xf>
    <xf numFmtId="201" fontId="39" fillId="0" borderId="9">
      <alignment horizontal="left"/>
    </xf>
    <xf numFmtId="201" fontId="145" fillId="0" borderId="24">
      <alignment horizontal="left"/>
    </xf>
    <xf numFmtId="201" fontId="145" fillId="0" borderId="24">
      <alignment horizontal="left"/>
    </xf>
    <xf numFmtId="201" fontId="146" fillId="0" borderId="0" applyFill="0" applyBorder="0">
      <alignment vertical="top"/>
    </xf>
    <xf numFmtId="201" fontId="147" fillId="0" borderId="0" applyFill="0" applyBorder="0" applyProtection="0">
      <alignment vertical="top"/>
    </xf>
    <xf numFmtId="201" fontId="148" fillId="0" borderId="0">
      <alignment vertical="top"/>
    </xf>
    <xf numFmtId="201" fontId="27" fillId="0" borderId="0">
      <alignment horizontal="center"/>
    </xf>
    <xf numFmtId="201" fontId="149" fillId="0" borderId="9">
      <alignment horizontal="center"/>
    </xf>
    <xf numFmtId="201" fontId="149" fillId="0" borderId="9">
      <alignment horizontal="center"/>
    </xf>
    <xf numFmtId="201" fontId="150" fillId="0" borderId="24">
      <alignment horizontal="center"/>
    </xf>
    <xf numFmtId="201" fontId="150" fillId="0" borderId="24">
      <alignment horizontal="center"/>
    </xf>
    <xf numFmtId="168" fontId="27" fillId="0" borderId="9" applyFill="0" applyBorder="0" applyProtection="0">
      <alignment horizontal="right" vertical="top"/>
    </xf>
    <xf numFmtId="168" fontId="27" fillId="0" borderId="24" applyFill="0" applyBorder="0" applyProtection="0">
      <alignment horizontal="right" vertical="top"/>
    </xf>
    <xf numFmtId="168" fontId="20" fillId="0" borderId="0" applyFill="0" applyBorder="0" applyAlignment="0" applyProtection="0">
      <alignment horizontal="right" vertical="top"/>
    </xf>
    <xf numFmtId="320" fontId="54" fillId="0" borderId="0">
      <alignment horizontal="left" vertical="center"/>
    </xf>
    <xf numFmtId="201" fontId="54" fillId="0" borderId="0"/>
    <xf numFmtId="201" fontId="151" fillId="0" borderId="0"/>
    <xf numFmtId="201" fontId="152" fillId="0" borderId="0"/>
    <xf numFmtId="201" fontId="152" fillId="0" borderId="0"/>
    <xf numFmtId="201" fontId="153" fillId="0" borderId="0"/>
    <xf numFmtId="201" fontId="7" fillId="0" borderId="0"/>
    <xf numFmtId="201" fontId="154" fillId="0" borderId="0">
      <alignment horizontal="left" vertical="top"/>
    </xf>
    <xf numFmtId="201" fontId="154" fillId="0" borderId="0">
      <alignment horizontal="left" vertical="top"/>
    </xf>
    <xf numFmtId="201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2" fontId="7" fillId="51" borderId="0">
      <alignment horizontal="right" vertical="center"/>
    </xf>
    <xf numFmtId="323" fontId="87" fillId="0" borderId="0" applyBorder="0"/>
    <xf numFmtId="209" fontId="58" fillId="36" borderId="0"/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6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5" fontId="114" fillId="0" borderId="0">
      <protection locked="0"/>
    </xf>
    <xf numFmtId="209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18" fontId="163" fillId="52" borderId="0"/>
    <xf numFmtId="219" fontId="163" fillId="52" borderId="0"/>
    <xf numFmtId="328" fontId="55" fillId="0" borderId="0">
      <alignment horizontal="right"/>
    </xf>
    <xf numFmtId="218" fontId="74" fillId="53" borderId="0">
      <alignment horizontal="right"/>
    </xf>
    <xf numFmtId="0" fontId="164" fillId="54" borderId="0"/>
    <xf numFmtId="3" fontId="165" fillId="55" borderId="10">
      <alignment horizontal="right" vertical="center"/>
    </xf>
    <xf numFmtId="1" fontId="16" fillId="41" borderId="10"/>
    <xf numFmtId="329" fontId="166" fillId="0" borderId="0"/>
    <xf numFmtId="209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0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0" fontId="16" fillId="57" borderId="10" applyNumberFormat="0" applyFont="0" applyAlignment="0"/>
    <xf numFmtId="331" fontId="98" fillId="0" borderId="0" applyFont="0" applyFill="0" applyBorder="0" applyAlignment="0" applyProtection="0">
      <alignment horizontal="right"/>
    </xf>
    <xf numFmtId="332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5" applyNumberFormat="0" applyAlignment="0" applyProtection="0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5" fillId="0" borderId="0">
      <alignment horizontal="left"/>
    </xf>
    <xf numFmtId="0" fontId="176" fillId="0" borderId="29">
      <alignment horizontal="left" vertical="top"/>
    </xf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9" fillId="0" borderId="0">
      <alignment horizontal="left"/>
    </xf>
    <xf numFmtId="0" fontId="180" fillId="0" borderId="29">
      <alignment horizontal="left" vertical="top"/>
    </xf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285" fontId="183" fillId="0" borderId="0">
      <protection locked="0"/>
    </xf>
    <xf numFmtId="285" fontId="183" fillId="0" borderId="0">
      <protection locked="0"/>
    </xf>
    <xf numFmtId="173" fontId="184" fillId="0" borderId="0">
      <alignment horizontal="left"/>
    </xf>
    <xf numFmtId="3" fontId="7" fillId="34" borderId="0"/>
    <xf numFmtId="3" fontId="7" fillId="5" borderId="0"/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73" fontId="186" fillId="0" borderId="0" applyNumberFormat="0" applyFill="0" applyBorder="0" applyAlignment="0" applyProtection="0">
      <alignment horizontal="center" vertical="top" wrapText="1"/>
    </xf>
    <xf numFmtId="173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5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18" fontId="73" fillId="34" borderId="0"/>
    <xf numFmtId="333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4" applyNumberFormat="0" applyAlignment="0" applyProtection="0"/>
    <xf numFmtId="219" fontId="200" fillId="7" borderId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22" fillId="59" borderId="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132" fillId="13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171" fontId="201" fillId="60" borderId="0"/>
    <xf numFmtId="0" fontId="202" fillId="0" borderId="36"/>
    <xf numFmtId="9" fontId="203" fillId="0" borderId="36" applyFill="0" applyAlignment="0" applyProtection="0"/>
    <xf numFmtId="0" fontId="204" fillId="0" borderId="36"/>
    <xf numFmtId="37" fontId="117" fillId="5" borderId="0" applyFont="0" applyBorder="0" applyProtection="0"/>
    <xf numFmtId="290" fontId="16" fillId="57" borderId="0" applyNumberFormat="0" applyFont="0" applyBorder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334" fontId="205" fillId="0" borderId="0"/>
    <xf numFmtId="335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6" fontId="209" fillId="0" borderId="37">
      <alignment horizontal="center"/>
    </xf>
    <xf numFmtId="0" fontId="210" fillId="0" borderId="0"/>
    <xf numFmtId="0" fontId="210" fillId="0" borderId="0" applyAlignment="0"/>
    <xf numFmtId="206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3" fontId="22" fillId="0" borderId="0" applyNumberFormat="0" applyProtection="0">
      <alignment horizontal="left" vertical="top" wrapText="1"/>
    </xf>
    <xf numFmtId="337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6" fillId="0" borderId="0" applyFont="0" applyFill="0" applyBorder="0" applyAlignment="0" applyProtection="0"/>
    <xf numFmtId="0" fontId="84" fillId="0" borderId="17" applyNumberFormat="0" applyFill="0" applyAlignment="0" applyProtection="0"/>
    <xf numFmtId="0" fontId="82" fillId="43" borderId="16" applyNumberFormat="0" applyAlignment="0" applyProtection="0"/>
    <xf numFmtId="1" fontId="211" fillId="1" borderId="38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2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3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171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9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7">
      <alignment horizontal="center"/>
    </xf>
    <xf numFmtId="0" fontId="52" fillId="0" borderId="0">
      <alignment horizontal="left"/>
    </xf>
    <xf numFmtId="339" fontId="209" fillId="0" borderId="37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42" fillId="0" borderId="0" applyFont="0" applyFill="0" applyBorder="0" applyAlignment="0" applyProtection="0"/>
    <xf numFmtId="243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3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0" fontId="2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6" fillId="0" borderId="0" applyFont="0" applyFill="0" applyBorder="0" applyAlignment="0" applyProtection="0"/>
    <xf numFmtId="246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3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7" applyNumberFormat="0" applyFill="0" applyAlignment="0" applyProtection="0"/>
    <xf numFmtId="0" fontId="230" fillId="0" borderId="30" applyNumberFormat="0" applyFill="0" applyAlignment="0" applyProtection="0"/>
    <xf numFmtId="0" fontId="129" fillId="0" borderId="32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22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1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1" fontId="158" fillId="0" borderId="10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10">
      <alignment horizontal="center"/>
    </xf>
    <xf numFmtId="1" fontId="158" fillId="0" borderId="10">
      <alignment horizontal="center"/>
    </xf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40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1" applyNumberFormat="0" applyFill="0" applyAlignment="0" applyProtection="0"/>
    <xf numFmtId="0" fontId="2" fillId="0" borderId="0" applyAlignment="0" applyProtection="0"/>
    <xf numFmtId="0" fontId="247" fillId="0" borderId="42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20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7" fillId="0" borderId="44" applyNumberFormat="0" applyFont="0" applyFill="0" applyAlignment="0" applyProtection="0"/>
    <xf numFmtId="0" fontId="7" fillId="0" borderId="44" applyNumberFormat="0" applyFon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83" fillId="43" borderId="16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5" fillId="0" borderId="0"/>
  </cellStyleXfs>
  <cellXfs count="20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0" xfId="2" applyBorder="1"/>
    <xf numFmtId="0" fontId="257" fillId="0" borderId="0" xfId="0" applyFont="1" applyBorder="1"/>
    <xf numFmtId="0" fontId="258" fillId="0" borderId="0" xfId="0" applyFont="1" applyBorder="1"/>
    <xf numFmtId="0" fontId="259" fillId="68" borderId="46" xfId="0" applyFont="1" applyFill="1" applyBorder="1" applyAlignment="1">
      <alignment horizontal="left" vertical="center"/>
    </xf>
    <xf numFmtId="0" fontId="259" fillId="68" borderId="47" xfId="0" applyFont="1" applyFill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0" fontId="257" fillId="0" borderId="47" xfId="0" applyFont="1" applyBorder="1" applyAlignment="1">
      <alignment horizontal="left" vertical="center"/>
    </xf>
    <xf numFmtId="9" fontId="257" fillId="0" borderId="48" xfId="1" applyNumberFormat="1" applyFont="1" applyBorder="1" applyAlignment="1">
      <alignment horizontal="center" vertical="center"/>
    </xf>
    <xf numFmtId="0" fontId="257" fillId="69" borderId="46" xfId="0" applyFont="1" applyFill="1" applyBorder="1" applyAlignment="1">
      <alignment horizontal="left" vertical="center"/>
    </xf>
    <xf numFmtId="0" fontId="257" fillId="69" borderId="47" xfId="0" applyFont="1" applyFill="1" applyBorder="1" applyAlignment="1">
      <alignment horizontal="left" vertical="center"/>
    </xf>
    <xf numFmtId="9" fontId="257" fillId="69" borderId="48" xfId="1" applyNumberFormat="1" applyFont="1" applyFill="1" applyBorder="1" applyAlignment="1">
      <alignment horizontal="center" vertical="center"/>
    </xf>
    <xf numFmtId="0" fontId="258" fillId="0" borderId="0" xfId="0" applyFont="1" applyBorder="1" applyAlignment="1">
      <alignment horizontal="left" vertical="center"/>
    </xf>
    <xf numFmtId="0" fontId="257" fillId="0" borderId="0" xfId="0" applyFont="1" applyBorder="1" applyAlignment="1">
      <alignment horizontal="left" vertical="center"/>
    </xf>
    <xf numFmtId="0" fontId="259" fillId="68" borderId="0" xfId="0" applyFont="1" applyFill="1" applyBorder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0" fontId="257" fillId="0" borderId="0" xfId="0" applyFont="1" applyFill="1" applyBorder="1" applyAlignment="1">
      <alignment horizontal="left" vertical="center"/>
    </xf>
    <xf numFmtId="9" fontId="257" fillId="0" borderId="0" xfId="1" applyFont="1" applyFill="1" applyBorder="1" applyAlignment="1">
      <alignment horizontal="center" vertical="center"/>
    </xf>
    <xf numFmtId="0" fontId="257" fillId="0" borderId="0" xfId="0" applyFont="1" applyAlignment="1">
      <alignment horizontal="left" vertical="center"/>
    </xf>
    <xf numFmtId="0" fontId="257" fillId="0" borderId="0" xfId="0" applyFont="1" applyFill="1" applyAlignment="1">
      <alignment horizontal="left" vertical="center"/>
    </xf>
    <xf numFmtId="0" fontId="259" fillId="68" borderId="47" xfId="0" applyFont="1" applyFill="1" applyBorder="1" applyAlignment="1">
      <alignment horizontal="center" vertical="center"/>
    </xf>
    <xf numFmtId="0" fontId="259" fillId="68" borderId="49" xfId="0" applyFont="1" applyFill="1" applyBorder="1" applyAlignment="1">
      <alignment horizontal="left" vertical="center"/>
    </xf>
    <xf numFmtId="9" fontId="257" fillId="0" borderId="47" xfId="1" applyNumberFormat="1" applyFont="1" applyBorder="1" applyAlignment="1">
      <alignment horizontal="center" vertical="center"/>
    </xf>
    <xf numFmtId="0" fontId="257" fillId="0" borderId="49" xfId="0" applyFont="1" applyBorder="1" applyAlignment="1">
      <alignment horizontal="left" vertical="center"/>
    </xf>
    <xf numFmtId="9" fontId="257" fillId="69" borderId="47" xfId="1" applyNumberFormat="1" applyFont="1" applyFill="1" applyBorder="1" applyAlignment="1">
      <alignment horizontal="center" vertical="center"/>
    </xf>
    <xf numFmtId="0" fontId="257" fillId="69" borderId="49" xfId="0" applyFont="1" applyFill="1" applyBorder="1" applyAlignment="1">
      <alignment horizontal="left" vertical="center"/>
    </xf>
    <xf numFmtId="0" fontId="257" fillId="0" borderId="0" xfId="0" applyFont="1" applyFill="1"/>
    <xf numFmtId="0" fontId="257" fillId="0" borderId="0" xfId="0" applyFont="1"/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0" fillId="71" borderId="0" xfId="0" applyFill="1" applyBorder="1"/>
    <xf numFmtId="3" fontId="0" fillId="0" borderId="0" xfId="0" applyNumberFormat="1"/>
    <xf numFmtId="0" fontId="0" fillId="0" borderId="15" xfId="0" applyBorder="1"/>
    <xf numFmtId="0" fontId="258" fillId="0" borderId="51" xfId="0" applyFont="1" applyFill="1" applyBorder="1" applyAlignment="1">
      <alignment vertical="center"/>
    </xf>
    <xf numFmtId="17" fontId="58" fillId="0" borderId="26" xfId="0" quotePrefix="1" applyNumberFormat="1" applyFont="1" applyFill="1" applyBorder="1" applyAlignment="1">
      <alignment horizontal="center" vertical="center"/>
    </xf>
    <xf numFmtId="172" fontId="261" fillId="0" borderId="0" xfId="0" applyNumberFormat="1" applyFont="1" applyFill="1" applyBorder="1" applyAlignment="1">
      <alignment horizontal="center" vertical="center"/>
    </xf>
    <xf numFmtId="0" fontId="258" fillId="70" borderId="0" xfId="0" applyFont="1" applyFill="1" applyBorder="1" applyAlignment="1">
      <alignment vertical="center"/>
    </xf>
    <xf numFmtId="172" fontId="262" fillId="0" borderId="0" xfId="0" applyNumberFormat="1" applyFont="1" applyFill="1" applyBorder="1" applyAlignment="1">
      <alignment horizontal="center" vertical="center"/>
    </xf>
    <xf numFmtId="0" fontId="257" fillId="70" borderId="0" xfId="0" applyFont="1" applyFill="1" applyBorder="1" applyAlignment="1">
      <alignment vertical="center"/>
    </xf>
    <xf numFmtId="0" fontId="258" fillId="0" borderId="0" xfId="0" applyFont="1"/>
    <xf numFmtId="0" fontId="258" fillId="70" borderId="0" xfId="0" applyFont="1" applyFill="1" applyAlignment="1">
      <alignment vertical="center"/>
    </xf>
    <xf numFmtId="260" fontId="264" fillId="0" borderId="0" xfId="0" applyNumberFormat="1" applyFont="1" applyFill="1" applyBorder="1" applyAlignment="1">
      <alignment horizontal="center" vertical="center"/>
    </xf>
    <xf numFmtId="0" fontId="265" fillId="0" borderId="0" xfId="2" applyFont="1" applyAlignment="1">
      <alignment vertical="center"/>
    </xf>
    <xf numFmtId="0" fontId="0" fillId="71" borderId="0" xfId="0" applyFill="1"/>
    <xf numFmtId="0" fontId="258" fillId="0" borderId="5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Border="1" applyAlignment="1">
      <alignment vertical="center"/>
    </xf>
    <xf numFmtId="0" fontId="266" fillId="70" borderId="0" xfId="0" applyFont="1" applyFill="1" applyBorder="1" applyAlignment="1">
      <alignment vertical="center"/>
    </xf>
    <xf numFmtId="172" fontId="266" fillId="70" borderId="0" xfId="0" applyNumberFormat="1" applyFont="1" applyFill="1" applyBorder="1" applyAlignment="1">
      <alignment horizontal="center" vertical="center"/>
    </xf>
    <xf numFmtId="172" fontId="261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57" fillId="0" borderId="0" xfId="0" applyFont="1" applyFill="1" applyBorder="1" applyAlignment="1">
      <alignment vertical="center"/>
    </xf>
    <xf numFmtId="3" fontId="261" fillId="0" borderId="0" xfId="0" applyNumberFormat="1" applyFont="1" applyFill="1" applyAlignment="1">
      <alignment horizontal="center" vertical="center"/>
    </xf>
    <xf numFmtId="0" fontId="258" fillId="0" borderId="0" xfId="0" applyFont="1" applyFill="1" applyBorder="1" applyAlignment="1">
      <alignment vertical="center"/>
    </xf>
    <xf numFmtId="0" fontId="266" fillId="0" borderId="52" xfId="0" applyFont="1" applyFill="1" applyBorder="1" applyAlignment="1">
      <alignment horizontal="left" vertical="center"/>
    </xf>
    <xf numFmtId="0" fontId="258" fillId="71" borderId="0" xfId="0" applyFont="1" applyFill="1" applyAlignment="1">
      <alignment horizontal="left"/>
    </xf>
    <xf numFmtId="0" fontId="257" fillId="71" borderId="0" xfId="0" applyFont="1" applyFill="1" applyAlignment="1">
      <alignment horizontal="left"/>
    </xf>
    <xf numFmtId="0" fontId="257" fillId="70" borderId="0" xfId="0" applyFont="1" applyFill="1"/>
    <xf numFmtId="9" fontId="257" fillId="70" borderId="0" xfId="1" applyFont="1" applyFill="1" applyAlignment="1">
      <alignment horizontal="left"/>
    </xf>
    <xf numFmtId="3" fontId="257" fillId="0" borderId="0" xfId="0" applyNumberFormat="1" applyFont="1" applyFill="1" applyBorder="1" applyAlignment="1">
      <alignment horizontal="center" vertical="center"/>
    </xf>
    <xf numFmtId="9" fontId="257" fillId="0" borderId="0" xfId="1" applyFont="1" applyFill="1"/>
    <xf numFmtId="0" fontId="258" fillId="70" borderId="0" xfId="0" applyFont="1" applyFill="1"/>
    <xf numFmtId="3" fontId="258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67" fillId="0" borderId="0" xfId="0" applyFont="1"/>
    <xf numFmtId="0" fontId="268" fillId="0" borderId="0" xfId="0" applyNumberFormat="1" applyFont="1" applyFill="1" applyBorder="1" applyAlignment="1">
      <alignment horizontal="center" vertical="center"/>
    </xf>
    <xf numFmtId="0" fontId="269" fillId="70" borderId="0" xfId="0" applyNumberFormat="1" applyFont="1" applyFill="1"/>
    <xf numFmtId="0" fontId="58" fillId="0" borderId="52" xfId="0" applyFont="1" applyFill="1" applyBorder="1" applyAlignment="1">
      <alignment horizontal="left" vertical="center"/>
    </xf>
    <xf numFmtId="0" fontId="258" fillId="0" borderId="0" xfId="0" applyFont="1" applyFill="1"/>
    <xf numFmtId="0" fontId="258" fillId="71" borderId="0" xfId="0" applyFont="1" applyFill="1" applyBorder="1"/>
    <xf numFmtId="0" fontId="257" fillId="71" borderId="0" xfId="0" applyFont="1" applyFill="1" applyBorder="1"/>
    <xf numFmtId="0" fontId="257" fillId="71" borderId="0" xfId="0" applyFont="1" applyFill="1"/>
    <xf numFmtId="0" fontId="257" fillId="0" borderId="0" xfId="0" applyFont="1" applyFill="1" applyAlignment="1">
      <alignment horizontal="left"/>
    </xf>
    <xf numFmtId="0" fontId="257" fillId="0" borderId="0" xfId="0" applyFont="1" applyAlignment="1">
      <alignment horizontal="left"/>
    </xf>
    <xf numFmtId="0" fontId="267" fillId="71" borderId="0" xfId="0" applyFont="1" applyFill="1"/>
    <xf numFmtId="0" fontId="270" fillId="71" borderId="0" xfId="0" applyNumberFormat="1" applyFont="1" applyFill="1" applyBorder="1" applyAlignment="1">
      <alignment horizontal="center" vertical="center"/>
    </xf>
    <xf numFmtId="0" fontId="258" fillId="0" borderId="0" xfId="0" applyFont="1" applyAlignment="1">
      <alignment horizontal="left"/>
    </xf>
    <xf numFmtId="3" fontId="261" fillId="0" borderId="0" xfId="0" applyNumberFormat="1" applyFont="1" applyAlignment="1">
      <alignment horizontal="center" vertical="center"/>
    </xf>
    <xf numFmtId="0" fontId="258" fillId="71" borderId="0" xfId="0" applyFont="1" applyFill="1" applyAlignment="1">
      <alignment horizontal="center"/>
    </xf>
    <xf numFmtId="9" fontId="257" fillId="0" borderId="0" xfId="1" applyFont="1" applyFill="1" applyAlignment="1">
      <alignment horizontal="left"/>
    </xf>
    <xf numFmtId="3" fontId="268" fillId="0" borderId="0" xfId="0" applyNumberFormat="1" applyFont="1" applyFill="1"/>
    <xf numFmtId="0" fontId="269" fillId="0" borderId="0" xfId="0" applyNumberFormat="1" applyFont="1" applyFill="1"/>
    <xf numFmtId="0" fontId="268" fillId="0" borderId="0" xfId="0" applyNumberFormat="1" applyFont="1" applyFill="1"/>
    <xf numFmtId="0" fontId="258" fillId="0" borderId="0" xfId="0" applyFont="1" applyFill="1" applyAlignment="1">
      <alignment horizontal="left"/>
    </xf>
    <xf numFmtId="9" fontId="268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58" fillId="70" borderId="0" xfId="0" applyFont="1" applyFill="1" applyBorder="1"/>
    <xf numFmtId="0" fontId="257" fillId="0" borderId="0" xfId="0" applyFont="1" applyFill="1" applyAlignment="1">
      <alignment horizontal="right"/>
    </xf>
    <xf numFmtId="0" fontId="257" fillId="0" borderId="0" xfId="0" applyFont="1" applyFill="1" applyBorder="1" applyAlignment="1">
      <alignment horizontal="right"/>
    </xf>
    <xf numFmtId="3" fontId="271" fillId="71" borderId="0" xfId="0" applyNumberFormat="1" applyFont="1" applyFill="1" applyBorder="1" applyAlignment="1">
      <alignment horizontal="center"/>
    </xf>
    <xf numFmtId="0" fontId="257" fillId="0" borderId="0" xfId="0" applyFont="1" applyFill="1" applyAlignment="1">
      <alignment vertical="center"/>
    </xf>
    <xf numFmtId="0" fontId="263" fillId="0" borderId="0" xfId="0" applyFont="1" applyFill="1" applyAlignment="1">
      <alignment horizontal="left" vertical="center" indent="2"/>
    </xf>
    <xf numFmtId="172" fontId="262" fillId="70" borderId="0" xfId="0" applyNumberFormat="1" applyFont="1" applyFill="1" applyBorder="1" applyAlignment="1">
      <alignment horizontal="center" vertical="center"/>
    </xf>
    <xf numFmtId="172" fontId="261" fillId="70" borderId="0" xfId="0" applyNumberFormat="1" applyFont="1" applyFill="1" applyBorder="1" applyAlignment="1">
      <alignment horizontal="center" vertical="center"/>
    </xf>
    <xf numFmtId="3" fontId="261" fillId="71" borderId="0" xfId="0" applyNumberFormat="1" applyFont="1" applyFill="1" applyBorder="1" applyAlignment="1">
      <alignment horizontal="center" vertical="center"/>
    </xf>
    <xf numFmtId="3" fontId="258" fillId="0" borderId="0" xfId="0" applyNumberFormat="1" applyFont="1" applyFill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Fill="1" applyAlignment="1">
      <alignment horizontal="center"/>
    </xf>
    <xf numFmtId="3" fontId="258" fillId="70" borderId="0" xfId="0" applyNumberFormat="1" applyFont="1" applyFill="1" applyBorder="1"/>
    <xf numFmtId="0" fontId="258" fillId="70" borderId="0" xfId="0" applyFont="1" applyFill="1" applyAlignment="1">
      <alignment wrapText="1"/>
    </xf>
    <xf numFmtId="3" fontId="257" fillId="71" borderId="0" xfId="0" applyNumberFormat="1" applyFont="1" applyFill="1" applyBorder="1" applyAlignment="1">
      <alignment vertical="center"/>
    </xf>
    <xf numFmtId="3" fontId="269" fillId="70" borderId="0" xfId="0" applyNumberFormat="1" applyFont="1" applyFill="1" applyBorder="1" applyAlignment="1">
      <alignment horizontal="center" vertical="center"/>
    </xf>
    <xf numFmtId="3" fontId="268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Alignment="1">
      <alignment horizontal="center"/>
    </xf>
    <xf numFmtId="3" fontId="269" fillId="70" borderId="0" xfId="0" applyNumberFormat="1" applyFont="1" applyFill="1" applyAlignment="1">
      <alignment horizontal="center"/>
    </xf>
    <xf numFmtId="0" fontId="0" fillId="0" borderId="0" xfId="0" applyFont="1" applyFill="1"/>
    <xf numFmtId="3" fontId="3" fillId="0" borderId="0" xfId="0" applyNumberFormat="1" applyFont="1"/>
    <xf numFmtId="17" fontId="258" fillId="0" borderId="51" xfId="0" applyNumberFormat="1" applyFont="1" applyFill="1" applyBorder="1" applyAlignment="1">
      <alignment horizontal="center" vertical="center"/>
    </xf>
    <xf numFmtId="0" fontId="258" fillId="0" borderId="53" xfId="0" applyFont="1" applyFill="1" applyBorder="1" applyAlignment="1">
      <alignment vertical="center"/>
    </xf>
    <xf numFmtId="0" fontId="258" fillId="70" borderId="0" xfId="0" applyFont="1" applyFill="1" applyAlignment="1">
      <alignment horizontal="center" vertical="center"/>
    </xf>
    <xf numFmtId="0" fontId="3" fillId="71" borderId="0" xfId="0" applyFont="1" applyFill="1" applyBorder="1"/>
    <xf numFmtId="3" fontId="272" fillId="71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/>
    </xf>
    <xf numFmtId="0" fontId="274" fillId="70" borderId="0" xfId="0" applyFont="1" applyFill="1" applyBorder="1" applyAlignment="1">
      <alignment horizontal="left"/>
    </xf>
    <xf numFmtId="3" fontId="272" fillId="70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 vertical="center" wrapText="1"/>
    </xf>
    <xf numFmtId="9" fontId="271" fillId="71" borderId="0" xfId="1" applyFont="1" applyFill="1" applyBorder="1" applyAlignment="1">
      <alignment horizontal="center"/>
    </xf>
    <xf numFmtId="351" fontId="0" fillId="0" borderId="0" xfId="0" applyNumberFormat="1"/>
    <xf numFmtId="3" fontId="258" fillId="70" borderId="0" xfId="0" applyNumberFormat="1" applyFont="1" applyFill="1" applyBorder="1" applyAlignment="1">
      <alignment horizontal="center"/>
    </xf>
    <xf numFmtId="3" fontId="257" fillId="71" borderId="0" xfId="0" applyNumberFormat="1" applyFont="1" applyFill="1"/>
    <xf numFmtId="3" fontId="0" fillId="0" borderId="0" xfId="0" applyNumberFormat="1" applyFill="1"/>
    <xf numFmtId="351" fontId="258" fillId="70" borderId="0" xfId="0" applyNumberFormat="1" applyFont="1" applyFill="1"/>
    <xf numFmtId="39" fontId="0" fillId="0" borderId="0" xfId="0" applyNumberFormat="1"/>
    <xf numFmtId="0" fontId="3" fillId="71" borderId="0" xfId="0" applyFont="1" applyFill="1"/>
    <xf numFmtId="0" fontId="3" fillId="0" borderId="0" xfId="0" applyFont="1" applyFill="1"/>
    <xf numFmtId="3" fontId="269" fillId="0" borderId="0" xfId="0" applyNumberFormat="1" applyFont="1" applyFill="1"/>
    <xf numFmtId="0" fontId="275" fillId="0" borderId="0" xfId="9376"/>
    <xf numFmtId="0" fontId="275" fillId="0" borderId="0" xfId="9376" applyAlignment="1">
      <alignment horizontal="center"/>
    </xf>
    <xf numFmtId="0" fontId="277" fillId="0" borderId="0" xfId="9376" applyFont="1"/>
    <xf numFmtId="0" fontId="275" fillId="0" borderId="0" xfId="9376" applyBorder="1"/>
    <xf numFmtId="0" fontId="278" fillId="0" borderId="54" xfId="9376" applyFont="1" applyBorder="1" applyAlignment="1">
      <alignment horizontal="center"/>
    </xf>
    <xf numFmtId="0" fontId="278" fillId="0" borderId="55" xfId="9376" applyFont="1" applyBorder="1" applyAlignment="1"/>
    <xf numFmtId="0" fontId="278" fillId="0" borderId="56" xfId="9376" applyFont="1" applyBorder="1" applyAlignment="1"/>
    <xf numFmtId="0" fontId="275" fillId="0" borderId="54" xfId="9376" applyFont="1" applyBorder="1"/>
    <xf numFmtId="235" fontId="275" fillId="0" borderId="54" xfId="9376" applyNumberFormat="1" applyBorder="1"/>
    <xf numFmtId="167" fontId="5" fillId="0" borderId="0" xfId="1" applyNumberFormat="1" applyFont="1"/>
    <xf numFmtId="167" fontId="3" fillId="0" borderId="0" xfId="1" applyNumberFormat="1" applyFont="1"/>
    <xf numFmtId="235" fontId="275" fillId="0" borderId="0" xfId="9376" applyNumberFormat="1"/>
    <xf numFmtId="0" fontId="275" fillId="0" borderId="0" xfId="9376" applyNumberFormat="1"/>
    <xf numFmtId="235" fontId="275" fillId="72" borderId="54" xfId="9376" applyNumberFormat="1" applyFill="1" applyBorder="1"/>
    <xf numFmtId="0" fontId="58" fillId="0" borderId="57" xfId="9376" applyFont="1" applyFill="1" applyBorder="1"/>
    <xf numFmtId="0" fontId="58" fillId="0" borderId="54" xfId="9376" applyFont="1" applyBorder="1"/>
    <xf numFmtId="0" fontId="275" fillId="0" borderId="54" xfId="9376" applyFont="1" applyFill="1" applyBorder="1"/>
    <xf numFmtId="3" fontId="275" fillId="0" borderId="58" xfId="9376" applyNumberFormat="1" applyFill="1" applyBorder="1"/>
    <xf numFmtId="3" fontId="275" fillId="0" borderId="0" xfId="9376" applyNumberFormat="1"/>
    <xf numFmtId="3" fontId="275" fillId="0" borderId="54" xfId="9376" applyNumberFormat="1" applyFont="1" applyBorder="1"/>
    <xf numFmtId="8" fontId="275" fillId="0" borderId="54" xfId="9376" applyNumberFormat="1" applyFont="1" applyBorder="1"/>
    <xf numFmtId="265" fontId="275" fillId="0" borderId="54" xfId="9376" applyNumberFormat="1" applyBorder="1"/>
    <xf numFmtId="265" fontId="275" fillId="72" borderId="54" xfId="9376" applyNumberFormat="1" applyFill="1" applyBorder="1"/>
    <xf numFmtId="3" fontId="275" fillId="0" borderId="54" xfId="9376" applyNumberFormat="1" applyBorder="1"/>
    <xf numFmtId="3" fontId="275" fillId="72" borderId="54" xfId="9376" applyNumberFormat="1" applyFill="1" applyBorder="1"/>
    <xf numFmtId="0" fontId="275" fillId="0" borderId="56" xfId="9376" applyBorder="1"/>
    <xf numFmtId="0" fontId="279" fillId="0" borderId="56" xfId="9376" applyFont="1" applyBorder="1"/>
    <xf numFmtId="0" fontId="58" fillId="0" borderId="0" xfId="9376" applyFont="1"/>
    <xf numFmtId="0" fontId="58" fillId="72" borderId="0" xfId="9376" applyFont="1" applyFill="1"/>
    <xf numFmtId="0" fontId="276" fillId="0" borderId="0" xfId="9376" applyFont="1" applyFill="1" applyBorder="1" applyAlignment="1">
      <alignment horizontal="center" vertical="center"/>
    </xf>
    <xf numFmtId="0" fontId="275" fillId="0" borderId="0" xfId="9376" applyFont="1" applyFill="1" applyBorder="1"/>
    <xf numFmtId="0" fontId="58" fillId="0" borderId="0" xfId="9376" applyFont="1" applyFill="1" applyAlignment="1">
      <alignment horizontal="center"/>
    </xf>
    <xf numFmtId="0" fontId="275" fillId="0" borderId="0" xfId="9376" applyFill="1"/>
    <xf numFmtId="235" fontId="275" fillId="0" borderId="0" xfId="9376" applyNumberFormat="1" applyFill="1" applyBorder="1"/>
    <xf numFmtId="167" fontId="5" fillId="0" borderId="0" xfId="1" applyNumberFormat="1" applyFont="1" applyFill="1"/>
    <xf numFmtId="0" fontId="278" fillId="0" borderId="0" xfId="9376" applyFont="1" applyFill="1" applyBorder="1" applyAlignment="1">
      <alignment horizontal="left"/>
    </xf>
    <xf numFmtId="265" fontId="275" fillId="0" borderId="0" xfId="9376" applyNumberFormat="1" applyFill="1" applyBorder="1"/>
    <xf numFmtId="3" fontId="275" fillId="0" borderId="0" xfId="9376" applyNumberFormat="1" applyFill="1" applyBorder="1"/>
    <xf numFmtId="0" fontId="275" fillId="0" borderId="0" xfId="9376" applyFill="1" applyBorder="1"/>
    <xf numFmtId="9" fontId="3" fillId="0" borderId="2" xfId="1" applyFont="1" applyBorder="1"/>
    <xf numFmtId="14" fontId="275" fillId="0" borderId="0" xfId="9376" applyNumberFormat="1" applyFill="1"/>
    <xf numFmtId="9" fontId="3" fillId="0" borderId="0" xfId="1" applyFont="1"/>
    <xf numFmtId="235" fontId="275" fillId="0" borderId="54" xfId="9376" applyNumberFormat="1" applyFill="1" applyBorder="1"/>
    <xf numFmtId="265" fontId="275" fillId="0" borderId="54" xfId="9376" applyNumberFormat="1" applyFont="1" applyFill="1" applyBorder="1"/>
    <xf numFmtId="14" fontId="58" fillId="0" borderId="0" xfId="9376" applyNumberFormat="1" applyFont="1" applyFill="1"/>
    <xf numFmtId="0" fontId="0" fillId="72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257" fillId="0" borderId="0" xfId="0" applyNumberFormat="1" applyFont="1" applyFill="1" applyAlignment="1">
      <alignment horizontal="left" vertical="center"/>
    </xf>
    <xf numFmtId="3" fontId="257" fillId="0" borderId="0" xfId="0" applyNumberFormat="1" applyFont="1" applyAlignment="1">
      <alignment horizontal="left" vertical="center"/>
    </xf>
    <xf numFmtId="9" fontId="0" fillId="0" borderId="0" xfId="1" applyFont="1"/>
    <xf numFmtId="3" fontId="257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68" borderId="0" xfId="0" applyNumberFormat="1" applyFont="1" applyFill="1" applyAlignment="1">
      <alignment horizontal="center" wrapText="1"/>
    </xf>
    <xf numFmtId="3" fontId="4" fillId="6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wrapText="1"/>
    </xf>
    <xf numFmtId="0" fontId="258" fillId="70" borderId="0" xfId="0" applyFont="1" applyFill="1" applyBorder="1" applyAlignment="1">
      <alignment horizontal="center" vertical="center"/>
    </xf>
    <xf numFmtId="9" fontId="275" fillId="0" borderId="0" xfId="1" applyFont="1"/>
    <xf numFmtId="265" fontId="0" fillId="0" borderId="0" xfId="0" applyNumberFormat="1"/>
    <xf numFmtId="41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74" fontId="0" fillId="0" borderId="0" xfId="0" applyNumberFormat="1"/>
    <xf numFmtId="3" fontId="4" fillId="68" borderId="0" xfId="0" applyNumberFormat="1" applyFont="1" applyFill="1" applyAlignment="1">
      <alignment horizontal="center"/>
    </xf>
    <xf numFmtId="3" fontId="259" fillId="0" borderId="0" xfId="0" applyNumberFormat="1" applyFont="1" applyFill="1" applyAlignment="1">
      <alignment horizontal="left" vertical="center"/>
    </xf>
    <xf numFmtId="0" fontId="280" fillId="0" borderId="0" xfId="0" applyFont="1" applyAlignment="1">
      <alignment horizontal="center" vertical="center"/>
    </xf>
    <xf numFmtId="0" fontId="280" fillId="0" borderId="0" xfId="0" applyFont="1"/>
    <xf numFmtId="0" fontId="258" fillId="0" borderId="0" xfId="0" applyFont="1" applyFill="1" applyAlignment="1">
      <alignment horizontal="center" vertical="center"/>
    </xf>
    <xf numFmtId="0" fontId="259" fillId="68" borderId="0" xfId="0" applyFont="1" applyFill="1" applyBorder="1" applyAlignment="1">
      <alignment horizontal="left" vertical="center"/>
    </xf>
    <xf numFmtId="0" fontId="257" fillId="0" borderId="0" xfId="0" applyFont="1" applyAlignment="1">
      <alignment horizontal="left" vertical="center" wrapText="1"/>
    </xf>
    <xf numFmtId="0" fontId="276" fillId="0" borderId="37" xfId="9376" applyFont="1" applyFill="1" applyBorder="1" applyAlignment="1">
      <alignment horizontal="center" vertical="center"/>
    </xf>
    <xf numFmtId="0" fontId="278" fillId="0" borderId="55" xfId="9376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937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3" xfId="9376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7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98980234997504E-2"/>
          <c:y val="0.13775519267486619"/>
          <c:w val="0.82657485018673738"/>
          <c:h val="0.6859407852803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del ejercicio'!$L$6</c:f>
              <c:strCache>
                <c:ptCount val="1"/>
                <c:pt idx="0">
                  <c:v>EBITDA (MMUS$)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8A-43AD-8345-9808A6854505}"/>
                </c:ext>
              </c:extLst>
            </c:dLbl>
            <c:dLbl>
              <c:idx val="5"/>
              <c:layout>
                <c:manualLayout>
                  <c:x val="1.1316872244631213E-2"/>
                  <c:y val="-4.2097210081983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ejercicio'!$M$6:$R$6</c:f>
              <c:numCache>
                <c:formatCode>#,##0</c:formatCode>
                <c:ptCount val="6"/>
                <c:pt idx="0">
                  <c:v>91.76</c:v>
                </c:pt>
                <c:pt idx="1">
                  <c:v>91.379000000000005</c:v>
                </c:pt>
                <c:pt idx="2">
                  <c:v>116.712</c:v>
                </c:pt>
                <c:pt idx="3">
                  <c:v>145.94</c:v>
                </c:pt>
                <c:pt idx="4">
                  <c:v>176.95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43375"/>
        <c:axId val="1994943791"/>
      </c:barChart>
      <c:lineChart>
        <c:grouping val="standard"/>
        <c:varyColors val="0"/>
        <c:ser>
          <c:idx val="1"/>
          <c:order val="1"/>
          <c:tx>
            <c:strRef>
              <c:f>'resumen del ejercicio'!$L$7</c:f>
              <c:strCache>
                <c:ptCount val="1"/>
                <c:pt idx="0">
                  <c:v>Mg EBITDA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8673835125448029E-2"/>
                  <c:y val="1.804850215196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A-43AD-8345-9808A6854505}"/>
                </c:ext>
              </c:extLst>
            </c:dLbl>
            <c:dLbl>
              <c:idx val="1"/>
              <c:layout>
                <c:manualLayout>
                  <c:x val="2.1505376344085978E-2"/>
                  <c:y val="-8.27213459257885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A-43AD-8345-9808A6854505}"/>
                </c:ext>
              </c:extLst>
            </c:dLbl>
            <c:dLbl>
              <c:idx val="2"/>
              <c:layout>
                <c:manualLayout>
                  <c:x val="2.1505376344086023E-2"/>
                  <c:y val="4.5121255379910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A-43AD-8345-9808A6854505}"/>
                </c:ext>
              </c:extLst>
            </c:dLbl>
            <c:dLbl>
              <c:idx val="3"/>
              <c:layout>
                <c:manualLayout>
                  <c:x val="2.8673835125447942E-2"/>
                  <c:y val="-1.353637661397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A-43AD-8345-9808A6854505}"/>
                </c:ext>
              </c:extLst>
            </c:dLbl>
            <c:dLbl>
              <c:idx val="4"/>
              <c:layout>
                <c:manualLayout>
                  <c:x val="2.2208111082888834E-2"/>
                  <c:y val="1.804850215196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A-43AD-8345-9808A6854505}"/>
                </c:ext>
              </c:extLst>
            </c:dLbl>
            <c:dLbl>
              <c:idx val="5"/>
              <c:layout>
                <c:manualLayout>
                  <c:x val="1.6674788357734043E-2"/>
                  <c:y val="-1.175998881412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ejercicio'!$M$7:$R$7</c:f>
              <c:numCache>
                <c:formatCode>0%</c:formatCode>
                <c:ptCount val="6"/>
                <c:pt idx="0">
                  <c:v>0.21526111201037831</c:v>
                </c:pt>
                <c:pt idx="1">
                  <c:v>0.23196643075454648</c:v>
                </c:pt>
                <c:pt idx="2">
                  <c:v>0.24947736979133267</c:v>
                </c:pt>
                <c:pt idx="3">
                  <c:v>0.28288427989920528</c:v>
                </c:pt>
                <c:pt idx="4">
                  <c:v>0.33399395998489995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941295"/>
        <c:axId val="1994940879"/>
      </c:lineChart>
      <c:catAx>
        <c:axId val="199494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791"/>
        <c:crosses val="autoZero"/>
        <c:auto val="1"/>
        <c:lblAlgn val="ctr"/>
        <c:lblOffset val="100"/>
        <c:noMultiLvlLbl val="0"/>
      </c:catAx>
      <c:valAx>
        <c:axId val="1994943791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375"/>
        <c:crosses val="autoZero"/>
        <c:crossBetween val="between"/>
      </c:valAx>
      <c:valAx>
        <c:axId val="1994940879"/>
        <c:scaling>
          <c:orientation val="minMax"/>
          <c:min val="0.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1295"/>
        <c:crosses val="max"/>
        <c:crossBetween val="between"/>
      </c:valAx>
      <c:catAx>
        <c:axId val="1994941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494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8630867287297E-2"/>
          <c:y val="0.22222222222222221"/>
          <c:w val="0.8124874412716907"/>
          <c:h val="0.56447506561679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'Terminales Portuarios'!$J$35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C-4BA8-B900-9578B35B2CBB}"/>
                </c:ext>
              </c:extLst>
            </c:dLbl>
            <c:dLbl>
              <c:idx val="1"/>
              <c:layout>
                <c:manualLayout>
                  <c:x val="-5.0925337632079971E-17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CC-4BA8-B900-9578B35B2CBB}"/>
                </c:ext>
              </c:extLst>
            </c:dLbl>
            <c:dLbl>
              <c:idx val="2"/>
              <c:layout>
                <c:manualLayout>
                  <c:x val="-2.7777777777777779E-3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CC-4BA8-B900-9578B35B2CBB}"/>
                </c:ext>
              </c:extLst>
            </c:dLbl>
            <c:dLbl>
              <c:idx val="3"/>
              <c:layout>
                <c:manualLayout>
                  <c:x val="0"/>
                  <c:y val="9.72222222222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Portuarios'!$K$35:$N$35</c:f>
              <c:numCache>
                <c:formatCode>0</c:formatCode>
                <c:ptCount val="4"/>
                <c:pt idx="0">
                  <c:v>68.59140766339371</c:v>
                </c:pt>
                <c:pt idx="1">
                  <c:v>89.888981443945497</c:v>
                </c:pt>
                <c:pt idx="2">
                  <c:v>104.7539740296324</c:v>
                </c:pt>
                <c:pt idx="3">
                  <c:v>105.06247951007371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62015"/>
        <c:axId val="1683262431"/>
      </c:barChart>
      <c:lineChart>
        <c:grouping val="standard"/>
        <c:varyColors val="0"/>
        <c:ser>
          <c:idx val="1"/>
          <c:order val="1"/>
          <c:tx>
            <c:strRef>
              <c:f>'Terminales Portuarios'!$J$36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462668816039986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CC-4BA8-B900-9578B35B2CBB}"/>
                </c:ext>
              </c:extLst>
            </c:dLbl>
            <c:dLbl>
              <c:idx val="1"/>
              <c:layout>
                <c:manualLayout>
                  <c:x val="1.944444444444439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CC-4BA8-B900-9578B35B2CBB}"/>
                </c:ext>
              </c:extLst>
            </c:dLbl>
            <c:dLbl>
              <c:idx val="2"/>
              <c:layout>
                <c:manualLayout>
                  <c:x val="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CC-4BA8-B900-9578B35B2CBB}"/>
                </c:ext>
              </c:extLst>
            </c:dLbl>
            <c:dLbl>
              <c:idx val="3"/>
              <c:layout>
                <c:manualLayout>
                  <c:x val="1.1111111111111112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Portuarios'!$K$36:$N$36</c:f>
              <c:numCache>
                <c:formatCode>0%</c:formatCode>
                <c:ptCount val="4"/>
                <c:pt idx="0">
                  <c:v>0.3141078068013029</c:v>
                </c:pt>
                <c:pt idx="1">
                  <c:v>0.33095968514087026</c:v>
                </c:pt>
                <c:pt idx="2">
                  <c:v>0.38215338098838952</c:v>
                </c:pt>
                <c:pt idx="3">
                  <c:v>0.39174135612375499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11199"/>
        <c:axId val="1999312447"/>
      </c:lineChart>
      <c:catAx>
        <c:axId val="168326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431"/>
        <c:crosses val="autoZero"/>
        <c:auto val="1"/>
        <c:lblAlgn val="ctr"/>
        <c:lblOffset val="100"/>
        <c:noMultiLvlLbl val="0"/>
      </c:catAx>
      <c:valAx>
        <c:axId val="168326243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015"/>
        <c:crosses val="autoZero"/>
        <c:crossBetween val="between"/>
      </c:valAx>
      <c:valAx>
        <c:axId val="19993124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9311199"/>
        <c:crosses val="max"/>
        <c:crossBetween val="between"/>
      </c:valAx>
      <c:catAx>
        <c:axId val="19993111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931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13502109704644E-2"/>
          <c:y val="0.10536839741218883"/>
          <c:w val="0.90717299578059074"/>
          <c:h val="0.70726659314108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Portuarios'!$B$59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Portuarios'!$C$59:$H$59</c:f>
              <c:numCache>
                <c:formatCode>#,##0</c:formatCode>
                <c:ptCount val="4"/>
                <c:pt idx="0">
                  <c:v>15029.864481999999</c:v>
                </c:pt>
                <c:pt idx="1">
                  <c:v>17745.610319999996</c:v>
                </c:pt>
                <c:pt idx="2">
                  <c:v>17188.8815066065</c:v>
                </c:pt>
                <c:pt idx="3">
                  <c:v>17267.497284264402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D-44DC-95DC-BC28A265167A}"/>
            </c:ext>
          </c:extLst>
        </c:ser>
        <c:ser>
          <c:idx val="1"/>
          <c:order val="1"/>
          <c:tx>
            <c:strRef>
              <c:f>'Terminales Portuarios'!$B$60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Portuarios'!$C$60:$H$60</c:f>
              <c:numCache>
                <c:formatCode>#,##0</c:formatCode>
                <c:ptCount val="4"/>
                <c:pt idx="0">
                  <c:v>20031.99074976856</c:v>
                </c:pt>
                <c:pt idx="1">
                  <c:v>21718.256359999999</c:v>
                </c:pt>
                <c:pt idx="2">
                  <c:v>20752.9279606368</c:v>
                </c:pt>
                <c:pt idx="3">
                  <c:v>19675.281842636796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D-44DC-95DC-BC28A26516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9630383"/>
        <c:axId val="1899627471"/>
      </c:barChart>
      <c:catAx>
        <c:axId val="189963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9627471"/>
        <c:crosses val="autoZero"/>
        <c:auto val="1"/>
        <c:lblAlgn val="ctr"/>
        <c:lblOffset val="100"/>
        <c:noMultiLvlLbl val="0"/>
      </c:catAx>
      <c:valAx>
        <c:axId val="18996274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963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990498023190141E-2"/>
          <c:y val="0.90656044696431448"/>
          <c:w val="0.82939373245113479"/>
          <c:h val="8.9463828167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6084656084656E-2"/>
          <c:y val="0.23219772193617316"/>
          <c:w val="0.90687830687830684"/>
          <c:h val="0.55237873910572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Portuarios'!$B$67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Portuarios'!$C$67:$H$67</c:f>
              <c:numCache>
                <c:formatCode>#,##0</c:formatCode>
                <c:ptCount val="4"/>
                <c:pt idx="0">
                  <c:v>1374.5710999999999</c:v>
                </c:pt>
                <c:pt idx="1">
                  <c:v>1728.8030000000001</c:v>
                </c:pt>
                <c:pt idx="2">
                  <c:v>1755.836</c:v>
                </c:pt>
                <c:pt idx="3">
                  <c:v>1701.385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1-4F5F-80BF-6320E462EC6E}"/>
            </c:ext>
          </c:extLst>
        </c:ser>
        <c:ser>
          <c:idx val="1"/>
          <c:order val="1"/>
          <c:tx>
            <c:strRef>
              <c:f>'Terminales Portuarios'!$B$68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Portuarios'!$C$68:$H$68</c:f>
              <c:numCache>
                <c:formatCode>#,##0</c:formatCode>
                <c:ptCount val="4"/>
                <c:pt idx="0">
                  <c:v>1640.8510000000001</c:v>
                </c:pt>
                <c:pt idx="1">
                  <c:v>1708.855</c:v>
                </c:pt>
                <c:pt idx="2">
                  <c:v>1656.2149999999999</c:v>
                </c:pt>
                <c:pt idx="3">
                  <c:v>1547.9570000000001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1-4F5F-80BF-6320E462EC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11333743"/>
        <c:axId val="911337071"/>
      </c:barChart>
      <c:catAx>
        <c:axId val="91133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1337071"/>
        <c:crosses val="autoZero"/>
        <c:auto val="1"/>
        <c:lblAlgn val="ctr"/>
        <c:lblOffset val="100"/>
        <c:noMultiLvlLbl val="0"/>
      </c:catAx>
      <c:valAx>
        <c:axId val="9113370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1133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29962921301502"/>
          <c:y val="0.88448988461362676"/>
          <c:w val="0.88770034254192798"/>
          <c:h val="9.24030908819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'Terminales Portuarios'!$C$25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9B-4C86-8539-6E590B3131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FC-4285-95DE-902AF5377AC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8FC-4285-95DE-902AF5377AC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FC-4285-95DE-902AF5377AC2}"/>
              </c:ext>
            </c:extLst>
          </c:dPt>
          <c:dLbls>
            <c:dLbl>
              <c:idx val="2"/>
              <c:layout>
                <c:manualLayout>
                  <c:x val="0.16248403324584426"/>
                  <c:y val="-0.16439851268591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FC-4285-95DE-902AF537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'Terminales Portuarios'!$B$26:$B$29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'Terminales Portuarios'!$C$26:$C$29</c:f>
              <c:numCache>
                <c:formatCode>#,##0</c:formatCode>
                <c:ptCount val="4"/>
                <c:pt idx="0">
                  <c:v>45722</c:v>
                </c:pt>
                <c:pt idx="1">
                  <c:v>93077</c:v>
                </c:pt>
                <c:pt idx="2">
                  <c:v>62712</c:v>
                </c:pt>
                <c:pt idx="3">
                  <c:v>66634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C-4285-95DE-902AF5377AC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522164701788"/>
          <c:y val="0.19689814814814816"/>
          <c:w val="0.65555555555555556"/>
          <c:h val="0.71818642461358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Log!$H$4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Log!$I$3:$L$3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Log!$I$4:$L$4</c:f>
              <c:numCache>
                <c:formatCode>#,##0</c:formatCode>
                <c:ptCount val="4"/>
                <c:pt idx="0">
                  <c:v>69.256</c:v>
                </c:pt>
                <c:pt idx="1">
                  <c:v>58.734999999999999</c:v>
                </c:pt>
                <c:pt idx="2">
                  <c:v>51.334000000000003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6D8-BD04-9DAC9C6E4D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902447"/>
        <c:axId val="1890896207"/>
      </c:barChart>
      <c:catAx>
        <c:axId val="189090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207"/>
        <c:crosses val="autoZero"/>
        <c:auto val="1"/>
        <c:lblAlgn val="ctr"/>
        <c:lblOffset val="100"/>
        <c:noMultiLvlLbl val="0"/>
      </c:catAx>
      <c:valAx>
        <c:axId val="18908962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090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9265301000722"/>
          <c:y val="0.29241675280973012"/>
          <c:w val="0.6962196358921271"/>
          <c:h val="0.5108636483603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Log!$H$7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90331060326746E-17"/>
                  <c:y val="0.13846153846153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4-4499-B989-E322559D3111}"/>
                </c:ext>
              </c:extLst>
            </c:dLbl>
            <c:dLbl>
              <c:idx val="1"/>
              <c:layout>
                <c:manualLayout>
                  <c:x val="0"/>
                  <c:y val="0.18461538461538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4-4499-B989-E322559D3111}"/>
                </c:ext>
              </c:extLst>
            </c:dLbl>
            <c:dLbl>
              <c:idx val="2"/>
              <c:layout>
                <c:manualLayout>
                  <c:x val="0"/>
                  <c:y val="0.19105309913183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4-4499-B989-E322559D3111}"/>
                </c:ext>
              </c:extLst>
            </c:dLbl>
            <c:dLbl>
              <c:idx val="3"/>
              <c:layout>
                <c:manualLayout>
                  <c:x val="0"/>
                  <c:y val="0.1384615384615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Log!$I$7:$L$7</c:f>
              <c:numCache>
                <c:formatCode>#,##0</c:formatCode>
                <c:ptCount val="4"/>
                <c:pt idx="0">
                  <c:v>3.4448556799997996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003985775"/>
        <c:axId val="2003984527"/>
      </c:barChart>
      <c:lineChart>
        <c:grouping val="standard"/>
        <c:varyColors val="0"/>
        <c:ser>
          <c:idx val="1"/>
          <c:order val="1"/>
          <c:tx>
            <c:strRef>
              <c:f>Log!$H$8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936254980079681E-2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4-4499-B989-E322559D3111}"/>
                </c:ext>
              </c:extLst>
            </c:dLbl>
            <c:dLbl>
              <c:idx val="1"/>
              <c:layout>
                <c:manualLayout>
                  <c:x val="7.9681274900397919E-3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4-4499-B989-E322559D3111}"/>
                </c:ext>
              </c:extLst>
            </c:dLbl>
            <c:dLbl>
              <c:idx val="2"/>
              <c:layout>
                <c:manualLayout>
                  <c:x val="1.8592297476759629E-2"/>
                  <c:y val="-3.927986231772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4-4499-B989-E322559D3111}"/>
                </c:ext>
              </c:extLst>
            </c:dLbl>
            <c:dLbl>
              <c:idx val="3"/>
              <c:layout>
                <c:manualLayout>
                  <c:x val="2.1248339973439574E-2"/>
                  <c:y val="-1.309328743924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Log!$I$8:$L$8</c:f>
              <c:numCache>
                <c:formatCode>0%</c:formatCode>
                <c:ptCount val="4"/>
                <c:pt idx="0">
                  <c:v>4.9740898694695036E-2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85359"/>
        <c:axId val="2003984943"/>
      </c:lineChart>
      <c:catAx>
        <c:axId val="20039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4527"/>
        <c:crosses val="autoZero"/>
        <c:auto val="1"/>
        <c:lblAlgn val="ctr"/>
        <c:lblOffset val="100"/>
        <c:noMultiLvlLbl val="0"/>
      </c:catAx>
      <c:valAx>
        <c:axId val="200398452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775"/>
        <c:crosses val="autoZero"/>
        <c:crossBetween val="between"/>
      </c:valAx>
      <c:valAx>
        <c:axId val="200398494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359"/>
        <c:crosses val="max"/>
        <c:crossBetween val="between"/>
      </c:valAx>
      <c:catAx>
        <c:axId val="2003985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398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'[2]resumen del ejercicio'!$B$45</c:f>
              <c:strCache>
                <c:ptCount val="1"/>
                <c:pt idx="0">
                  <c:v>Resultado Operacional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5238095238096114E-3"/>
                  <c:y val="-2.287020743098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ejercicio'!$C$45:$G$45</c:f>
              <c:numCache>
                <c:formatCode>General</c:formatCode>
                <c:ptCount val="5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497039"/>
        <c:axId val="1371502031"/>
      </c:barChart>
      <c:lineChart>
        <c:grouping val="standard"/>
        <c:varyColors val="0"/>
        <c:ser>
          <c:idx val="1"/>
          <c:order val="1"/>
          <c:tx>
            <c:strRef>
              <c:f>'[2]resumen del ejercicio'!$B$46</c:f>
              <c:strCache>
                <c:ptCount val="1"/>
                <c:pt idx="0">
                  <c:v>Mg Operacional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5238095238095021E-3"/>
                  <c:y val="-4.116637337576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C-4F5A-844F-A3CD561C3CCA}"/>
                </c:ext>
              </c:extLst>
            </c:dLbl>
            <c:dLbl>
              <c:idx val="1"/>
              <c:layout>
                <c:manualLayout>
                  <c:x val="7.1428571428570993E-3"/>
                  <c:y val="-3.201829040337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C-4F5A-844F-A3CD561C3CCA}"/>
                </c:ext>
              </c:extLst>
            </c:dLbl>
            <c:dLbl>
              <c:idx val="2"/>
              <c:layout>
                <c:manualLayout>
                  <c:x val="1.9047619047619049E-2"/>
                  <c:y val="-2.287020743098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C-4F5A-844F-A3CD561C3CCA}"/>
                </c:ext>
              </c:extLst>
            </c:dLbl>
            <c:dLbl>
              <c:idx val="3"/>
              <c:layout>
                <c:manualLayout>
                  <c:x val="2.1428571428571429E-2"/>
                  <c:y val="-2.2870207430980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C-4F5A-844F-A3CD561C3CCA}"/>
                </c:ext>
              </c:extLst>
            </c:dLbl>
            <c:dLbl>
              <c:idx val="4"/>
              <c:layout>
                <c:manualLayout>
                  <c:x val="1.9047619047619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ejercicio'!$C$46:$G$46</c:f>
              <c:numCache>
                <c:formatCode>General</c:formatCode>
                <c:ptCount val="5"/>
                <c:pt idx="0">
                  <c:v>9.6320902332542743E-2</c:v>
                </c:pt>
                <c:pt idx="1">
                  <c:v>0.10355340515621984</c:v>
                </c:pt>
                <c:pt idx="2">
                  <c:v>0.10255949861700717</c:v>
                </c:pt>
                <c:pt idx="3">
                  <c:v>0.14486140724946694</c:v>
                </c:pt>
                <c:pt idx="4">
                  <c:v>0.18157795394488488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11599"/>
        <c:axId val="1371500367"/>
      </c:lineChart>
      <c:catAx>
        <c:axId val="13714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02031"/>
        <c:crosses val="autoZero"/>
        <c:auto val="1"/>
        <c:lblAlgn val="ctr"/>
        <c:lblOffset val="100"/>
        <c:noMultiLvlLbl val="0"/>
      </c:catAx>
      <c:valAx>
        <c:axId val="13715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497039"/>
        <c:crosses val="autoZero"/>
        <c:crossBetween val="between"/>
      </c:valAx>
      <c:valAx>
        <c:axId val="1371500367"/>
        <c:scaling>
          <c:orientation val="minMax"/>
          <c:max val="0.2"/>
          <c:min val="8.0000000000000016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11599"/>
        <c:crosses val="max"/>
        <c:crossBetween val="between"/>
      </c:valAx>
      <c:catAx>
        <c:axId val="1371511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1500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ejercicio'!$C$71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ejercicio'!$D$71:$I$71</c:f>
              <c:numCache>
                <c:formatCode>0</c:formatCode>
                <c:ptCount val="6"/>
                <c:pt idx="0">
                  <c:v>189</c:v>
                </c:pt>
                <c:pt idx="1">
                  <c:v>185</c:v>
                </c:pt>
                <c:pt idx="2">
                  <c:v>182</c:v>
                </c:pt>
                <c:pt idx="3">
                  <c:v>186.7</c:v>
                </c:pt>
                <c:pt idx="4">
                  <c:v>205.1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94F-BFBE-470E5A0B8578}"/>
            </c:ext>
          </c:extLst>
        </c:ser>
        <c:ser>
          <c:idx val="1"/>
          <c:order val="1"/>
          <c:tx>
            <c:strRef>
              <c:f>'resumen del ejercicio'!$C$72</c:f>
              <c:strCache>
                <c:ptCount val="1"/>
                <c:pt idx="0">
                  <c:v>Terminales Portuarios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ejercicio'!$D$72:$I$72</c:f>
              <c:numCache>
                <c:formatCode>0</c:formatCode>
                <c:ptCount val="6"/>
                <c:pt idx="0">
                  <c:v>125</c:v>
                </c:pt>
                <c:pt idx="1">
                  <c:v>115</c:v>
                </c:pt>
                <c:pt idx="2">
                  <c:v>218</c:v>
                </c:pt>
                <c:pt idx="3">
                  <c:v>271.60000000000002</c:v>
                </c:pt>
                <c:pt idx="4">
                  <c:v>274.10000000000002</c:v>
                </c:pt>
                <c:pt idx="5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8-494F-BFBE-470E5A0B8578}"/>
            </c:ext>
          </c:extLst>
        </c:ser>
        <c:ser>
          <c:idx val="2"/>
          <c:order val="2"/>
          <c:tx>
            <c:strRef>
              <c:f>'resumen del ejercicio'!$C$73</c:f>
              <c:strCache>
                <c:ptCount val="1"/>
                <c:pt idx="0">
                  <c:v>Logistica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ejercicio'!$D$73:$I$73</c:f>
              <c:numCache>
                <c:formatCode>0</c:formatCode>
                <c:ptCount val="6"/>
                <c:pt idx="0">
                  <c:v>112</c:v>
                </c:pt>
                <c:pt idx="1">
                  <c:v>94</c:v>
                </c:pt>
                <c:pt idx="2">
                  <c:v>69</c:v>
                </c:pt>
                <c:pt idx="3">
                  <c:v>57.7</c:v>
                </c:pt>
                <c:pt idx="4">
                  <c:v>50.6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8-494F-BFBE-470E5A0B8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2895"/>
        <c:axId val="1878209567"/>
      </c:barChart>
      <c:catAx>
        <c:axId val="187821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09567"/>
        <c:crosses val="autoZero"/>
        <c:auto val="1"/>
        <c:lblAlgn val="ctr"/>
        <c:lblOffset val="100"/>
        <c:noMultiLvlLbl val="0"/>
      </c:catAx>
      <c:valAx>
        <c:axId val="1878209567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78212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ejercicio'!$C$75</c:f>
              <c:strCache>
                <c:ptCount val="1"/>
                <c:pt idx="0">
                  <c:v>Utilidad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ejercicio'!$D$75:$I$75</c:f>
              <c:numCache>
                <c:formatCode>General</c:formatCode>
                <c:ptCount val="6"/>
                <c:pt idx="0">
                  <c:v>51.6</c:v>
                </c:pt>
                <c:pt idx="1">
                  <c:v>54.5</c:v>
                </c:pt>
                <c:pt idx="2">
                  <c:v>27.1</c:v>
                </c:pt>
                <c:pt idx="3">
                  <c:v>51.7</c:v>
                </c:pt>
                <c:pt idx="4">
                  <c:v>58.5</c:v>
                </c:pt>
                <c:pt idx="5" formatCode="#,##0">
                  <c:v>56.17313816978195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3C-ACFA-67E07312E894}"/>
            </c:ext>
          </c:extLst>
        </c:ser>
        <c:ser>
          <c:idx val="1"/>
          <c:order val="1"/>
          <c:tx>
            <c:strRef>
              <c:f>'resumen del ejercicio'!$C$76</c:f>
              <c:strCache>
                <c:ptCount val="1"/>
                <c:pt idx="0">
                  <c:v>Costos no recurrentes/ Efectos extraordinarios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ejercicio'!$D$76:$I$76</c:f>
              <c:numCache>
                <c:formatCode>General</c:formatCode>
                <c:ptCount val="6"/>
                <c:pt idx="0">
                  <c:v>17.3</c:v>
                </c:pt>
                <c:pt idx="2">
                  <c:v>32.200000000000003</c:v>
                </c:pt>
                <c:pt idx="3">
                  <c:v>-2.1</c:v>
                </c:pt>
                <c:pt idx="4">
                  <c:v>-0.2</c:v>
                </c:pt>
                <c:pt idx="5" formatCode="0.0">
                  <c:v>2.7559999999999998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3C-ACFA-67E07312E8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6526607"/>
        <c:axId val="1686527439"/>
      </c:barChart>
      <c:catAx>
        <c:axId val="168652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6527439"/>
        <c:crosses val="autoZero"/>
        <c:auto val="1"/>
        <c:lblAlgn val="ctr"/>
        <c:lblOffset val="100"/>
        <c:noMultiLvlLbl val="0"/>
      </c:catAx>
      <c:valAx>
        <c:axId val="1686527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8652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ejercicio'!$N$68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ejercicio'!$O$67:$T$67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ejercicio'!$O$68:$T$68</c:f>
              <c:numCache>
                <c:formatCode>#,##0</c:formatCode>
                <c:ptCount val="6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F60-86B6-7F7B798808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0399"/>
        <c:axId val="1878214975"/>
      </c:barChart>
      <c:catAx>
        <c:axId val="187821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14975"/>
        <c:crosses val="autoZero"/>
        <c:auto val="1"/>
        <c:lblAlgn val="ctr"/>
        <c:lblOffset val="100"/>
        <c:noMultiLvlLbl val="0"/>
      </c:catAx>
      <c:valAx>
        <c:axId val="187821497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821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'distribucion ingresos Ebitda'!$C$11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A38-4361-9639-7E0858C335E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38-4361-9639-7E0858C335E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A38-4361-9639-7E0858C335ED}"/>
              </c:ext>
            </c:extLst>
          </c:dPt>
          <c:dLbls>
            <c:dLbl>
              <c:idx val="0"/>
              <c:layout>
                <c:manualLayout>
                  <c:x val="-0.20277777777777778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8-4361-9639-7E0858C335ED}"/>
                </c:ext>
              </c:extLst>
            </c:dLbl>
            <c:dLbl>
              <c:idx val="1"/>
              <c:layout>
                <c:manualLayout>
                  <c:x val="0.17499999999999999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8-4361-9639-7E0858C335ED}"/>
                </c:ext>
              </c:extLst>
            </c:dLbl>
            <c:dLbl>
              <c:idx val="2"/>
              <c:layout>
                <c:manualLayout>
                  <c:x val="3.3333333333333284E-2"/>
                  <c:y val="0.14814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8-4361-9639-7E0858C33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Ebitda'!$B$12:$B$14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Ebitda'!$C$12:$C$14</c:f>
              <c:numCache>
                <c:formatCode>#,##0</c:formatCode>
                <c:ptCount val="3"/>
                <c:pt idx="0">
                  <c:v>0</c:v>
                </c:pt>
                <c:pt idx="1">
                  <c:v>105062.47951007371</c:v>
                </c:pt>
                <c:pt idx="2">
                  <c:v>9612.1255847899993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361-9639-7E0858C335E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72747156605423"/>
          <c:y val="0.15392060367454069"/>
          <c:w val="0.42232305336832898"/>
          <c:h val="0.7038717556138816"/>
        </c:manualLayout>
      </c:layout>
      <c:pieChart>
        <c:varyColors val="1"/>
        <c:ser>
          <c:idx val="0"/>
          <c:order val="0"/>
          <c:tx>
            <c:strRef>
              <c:f>'distribucion ingresos Ebitda'!$C$3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90-4095-B644-D4CFD688D9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490-4095-B644-D4CFD688D96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C490-4095-B644-D4CFD688D96E}"/>
              </c:ext>
            </c:extLst>
          </c:dPt>
          <c:dLbls>
            <c:dLbl>
              <c:idx val="0"/>
              <c:layout>
                <c:manualLayout>
                  <c:x val="-0.1833333333333333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095-B644-D4CFD688D96E}"/>
                </c:ext>
              </c:extLst>
            </c:dLbl>
            <c:dLbl>
              <c:idx val="1"/>
              <c:layout>
                <c:manualLayout>
                  <c:x val="0.17222222222222217"/>
                  <c:y val="-9.7222222222222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095-B644-D4CFD688D96E}"/>
                </c:ext>
              </c:extLst>
            </c:dLbl>
            <c:dLbl>
              <c:idx val="2"/>
              <c:layout>
                <c:manualLayout>
                  <c:x val="6.3888888888888842E-2"/>
                  <c:y val="0.189814814814814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90-4095-B644-D4CFD688D96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Ebitda'!$B$4:$B$6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Ebitda'!$C$4:$C$6</c:f>
              <c:numCache>
                <c:formatCode>#,##0</c:formatCode>
                <c:ptCount val="3"/>
                <c:pt idx="0">
                  <c:v>0</c:v>
                </c:pt>
                <c:pt idx="1">
                  <c:v>268193.48498115531</c:v>
                </c:pt>
                <c:pt idx="2">
                  <c:v>50184.736627002203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095-B644-D4CFD688D96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22-40C0-8F1E-A17021A0636A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22-40C0-8F1E-A17021A0636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22-40C0-8F1E-A17021A0636A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22-40C0-8F1E-A17021A0636A}"/>
              </c:ext>
            </c:extLst>
          </c:dPt>
          <c:dLbls>
            <c:dLbl>
              <c:idx val="0"/>
              <c:layout>
                <c:manualLayout>
                  <c:x val="-9.7222222222222224E-2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2-40C0-8F1E-A17021A0636A}"/>
                </c:ext>
              </c:extLst>
            </c:dLbl>
            <c:dLbl>
              <c:idx val="1"/>
              <c:layout>
                <c:manualLayout>
                  <c:x val="-0.15277777777777779"/>
                  <c:y val="-0.2361111111111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2-40C0-8F1E-A17021A0636A}"/>
                </c:ext>
              </c:extLst>
            </c:dLbl>
            <c:dLbl>
              <c:idx val="2"/>
              <c:layout>
                <c:manualLayout>
                  <c:x val="0.1361111111111111"/>
                  <c:y val="-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2-40C0-8F1E-A17021A0636A}"/>
                </c:ext>
              </c:extLst>
            </c:dLbl>
            <c:dLbl>
              <c:idx val="3"/>
              <c:layout>
                <c:manualLayout>
                  <c:x val="0.15833333333333333"/>
                  <c:y val="0.1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2-40C0-8F1E-A17021A063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Ebitda'!$H$20:$H$23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'distribucion ingresos Ebitda'!$I$20:$I$23</c:f>
              <c:numCache>
                <c:formatCode>#,##0</c:formatCode>
                <c:ptCount val="4"/>
                <c:pt idx="0">
                  <c:v>131518</c:v>
                </c:pt>
                <c:pt idx="1">
                  <c:v>0</c:v>
                </c:pt>
                <c:pt idx="2">
                  <c:v>105453</c:v>
                </c:pt>
                <c:pt idx="3">
                  <c:v>145225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2-40C0-8F1E-A17021A0636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8174099440461"/>
          <c:y val="0.18647304371949952"/>
          <c:w val="0.7129530933711602"/>
          <c:h val="0.7054000208830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Portuarios'!$B$35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Portuarios'!$C$34:$H$34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Portuarios'!$C$35:$H$35</c:f>
              <c:numCache>
                <c:formatCode>0</c:formatCode>
                <c:ptCount val="4"/>
                <c:pt idx="0">
                  <c:v>218.369</c:v>
                </c:pt>
                <c:pt idx="1">
                  <c:v>271.601</c:v>
                </c:pt>
                <c:pt idx="2">
                  <c:v>274.11500000000001</c:v>
                </c:pt>
                <c:pt idx="3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B2-AEBD-69241BEFB5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74417471"/>
        <c:axId val="1774416639"/>
      </c:barChart>
      <c:catAx>
        <c:axId val="177441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4416639"/>
        <c:crosses val="autoZero"/>
        <c:auto val="1"/>
        <c:lblAlgn val="ctr"/>
        <c:lblOffset val="100"/>
        <c:noMultiLvlLbl val="0"/>
      </c:catAx>
      <c:valAx>
        <c:axId val="1774416639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77441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1238250</xdr:colOff>
      <xdr:row>9</xdr:row>
      <xdr:rowOff>103909</xdr:rowOff>
    </xdr:from>
    <xdr:to>
      <xdr:col>17</xdr:col>
      <xdr:colOff>103909</xdr:colOff>
      <xdr:row>36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3067050</xdr:colOff>
      <xdr:row>47</xdr:row>
      <xdr:rowOff>90487</xdr:rowOff>
    </xdr:from>
    <xdr:to>
      <xdr:col>10</xdr:col>
      <xdr:colOff>323850</xdr:colOff>
      <xdr:row>64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623455</xdr:colOff>
      <xdr:row>40</xdr:row>
      <xdr:rowOff>174048</xdr:rowOff>
    </xdr:from>
    <xdr:to>
      <xdr:col>11</xdr:col>
      <xdr:colOff>3134591</xdr:colOff>
      <xdr:row>78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415636</xdr:colOff>
      <xdr:row>87</xdr:row>
      <xdr:rowOff>147204</xdr:rowOff>
    </xdr:from>
    <xdr:to>
      <xdr:col>8</xdr:col>
      <xdr:colOff>242454</xdr:colOff>
      <xdr:row>97</xdr:row>
      <xdr:rowOff>33769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450272</xdr:colOff>
      <xdr:row>69</xdr:row>
      <xdr:rowOff>191366</xdr:rowOff>
    </xdr:from>
    <xdr:to>
      <xdr:col>19</xdr:col>
      <xdr:colOff>710045</xdr:colOff>
      <xdr:row>83</xdr:row>
      <xdr:rowOff>172316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0.16096</cdr:x>
      <cdr:y>0.1349</cdr:y>
    </cdr:from>
    <cdr:to>
      <cdr:x>0.83796</cdr:x>
      <cdr:y>0.4448</cdr:y>
    </cdr:to>
    <cdr:cxnSp macro="">
      <cdr:nvCxnSpPr>
        <cdr:cNvPr id="3" name="Conector recto de flecha 2"/>
        <cdr:cNvCxnSpPr/>
      </cdr:nvCxnSpPr>
      <cdr:spPr>
        <a:xfrm xmlns:a="http://schemas.openxmlformats.org/drawingml/2006/main" flipV="1">
          <a:off x="903151" y="406977"/>
          <a:ext cx="3798736" cy="9349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0.41364</cdr:x>
      <cdr:y>0.16749</cdr:y>
    </cdr:from>
    <cdr:to>
      <cdr:x>0.61436</cdr:x>
      <cdr:y>0.32316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2205272" y="542628"/>
          <a:ext cx="1070119" cy="50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>
              <a:solidFill>
                <a:schemeClr val="accent1"/>
              </a:solidFill>
            </a:rPr>
            <a:t>+105%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128587</xdr:rowOff>
    </xdr:from>
    <xdr:to>
      <xdr:col>13</xdr:col>
      <xdr:colOff>276225</xdr:colOff>
      <xdr:row>14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0</xdr:row>
      <xdr:rowOff>100012</xdr:rowOff>
    </xdr:from>
    <xdr:to>
      <xdr:col>19</xdr:col>
      <xdr:colOff>390525</xdr:colOff>
      <xdr:row>14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657225</xdr:colOff>
      <xdr:row>15</xdr:row>
      <xdr:rowOff>119062</xdr:rowOff>
    </xdr:from>
    <xdr:to>
      <xdr:col>18</xdr:col>
      <xdr:colOff>657225</xdr:colOff>
      <xdr:row>26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168503</xdr:rowOff>
    </xdr:from>
    <xdr:to>
      <xdr:col>9</xdr:col>
      <xdr:colOff>722738</xdr:colOff>
      <xdr:row>18</xdr:row>
      <xdr:rowOff>75665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59003"/>
          <a:ext cx="6837788" cy="3145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36</xdr:row>
      <xdr:rowOff>157162</xdr:rowOff>
    </xdr:from>
    <xdr:to>
      <xdr:col>7</xdr:col>
      <xdr:colOff>304800</xdr:colOff>
      <xdr:row>50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37</xdr:row>
      <xdr:rowOff>90487</xdr:rowOff>
    </xdr:from>
    <xdr:to>
      <xdr:col>13</xdr:col>
      <xdr:colOff>76200</xdr:colOff>
      <xdr:row>51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409575</xdr:colOff>
      <xdr:row>52</xdr:row>
      <xdr:rowOff>100012</xdr:rowOff>
    </xdr:from>
    <xdr:to>
      <xdr:col>13</xdr:col>
      <xdr:colOff>714376</xdr:colOff>
      <xdr:row>65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66</xdr:row>
      <xdr:rowOff>4762</xdr:rowOff>
    </xdr:from>
    <xdr:to>
      <xdr:col>13</xdr:col>
      <xdr:colOff>504825</xdr:colOff>
      <xdr:row>78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147637</xdr:rowOff>
    </xdr:from>
    <xdr:to>
      <xdr:col>20</xdr:col>
      <xdr:colOff>0</xdr:colOff>
      <xdr:row>52</xdr:row>
      <xdr:rowOff>33337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19</xdr:row>
      <xdr:rowOff>161925</xdr:rowOff>
    </xdr:from>
    <xdr:to>
      <xdr:col>4</xdr:col>
      <xdr:colOff>352425</xdr:colOff>
      <xdr:row>32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17</xdr:row>
      <xdr:rowOff>0</xdr:rowOff>
    </xdr:from>
    <xdr:to>
      <xdr:col>11</xdr:col>
      <xdr:colOff>342900</xdr:colOff>
      <xdr:row>30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20/1Q2020/archivo%20trabajo%201Q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Reporte%20Integrado/Data%20Request/Finanzas/Indicadores%20equity%20story%20290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Investor%20Kit/excel%20web%20historico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ARCHIVO%20DE%20TRABAJO%204Q2019%20(Autoguardado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exceel%20web%20FINAL%20histo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highlights"/>
      <sheetName val="NOTA6"/>
      <sheetName val="medidas"/>
      <sheetName val="EERR hist"/>
      <sheetName val="EERR"/>
      <sheetName val="Balance"/>
      <sheetName val="Presentacion"/>
      <sheetName val="Remolcadores"/>
      <sheetName val="Puertos"/>
      <sheetName val="Logistica"/>
      <sheetName val="Flujo"/>
      <sheetName val="Efectivo y Deuda Financiera"/>
      <sheetName val="indic financ"/>
    </sheetNames>
    <sheetDataSet>
      <sheetData sheetId="0"/>
      <sheetData sheetId="1"/>
      <sheetData sheetId="2">
        <row r="5">
          <cell r="T5">
            <v>71189.425940000001</v>
          </cell>
          <cell r="V5">
            <v>11612.736627002199</v>
          </cell>
        </row>
        <row r="25">
          <cell r="BT25">
            <v>51334</v>
          </cell>
        </row>
      </sheetData>
      <sheetData sheetId="3"/>
      <sheetData sheetId="4">
        <row r="18">
          <cell r="O18">
            <v>57779.793271953451</v>
          </cell>
        </row>
      </sheetData>
      <sheetData sheetId="5">
        <row r="8">
          <cell r="C8">
            <v>147207</v>
          </cell>
        </row>
      </sheetData>
      <sheetData sheetId="6">
        <row r="4">
          <cell r="D4">
            <v>229572</v>
          </cell>
        </row>
      </sheetData>
      <sheetData sheetId="7">
        <row r="14">
          <cell r="K14">
            <v>-17659.969006196996</v>
          </cell>
        </row>
        <row r="50">
          <cell r="C50">
            <v>2756</v>
          </cell>
        </row>
        <row r="51">
          <cell r="C51">
            <v>15235.513627828501</v>
          </cell>
          <cell r="H51">
            <v>13104.227241217748</v>
          </cell>
          <cell r="I51">
            <v>13874.604028782252</v>
          </cell>
          <cell r="J51">
            <v>13958.793271953449</v>
          </cell>
        </row>
      </sheetData>
      <sheetData sheetId="8">
        <row r="5">
          <cell r="C5">
            <v>71189.425940000001</v>
          </cell>
        </row>
      </sheetData>
      <sheetData sheetId="9">
        <row r="71">
          <cell r="D71">
            <v>4212331.6082678996</v>
          </cell>
          <cell r="E71">
            <v>4133715.8306100001</v>
          </cell>
          <cell r="H71">
            <v>399121</v>
          </cell>
          <cell r="I71">
            <v>453572</v>
          </cell>
        </row>
        <row r="72">
          <cell r="D72">
            <v>4502137.0959999999</v>
          </cell>
          <cell r="E72">
            <v>5579783.2140000006</v>
          </cell>
          <cell r="H72">
            <v>362379</v>
          </cell>
          <cell r="I72">
            <v>470637</v>
          </cell>
        </row>
      </sheetData>
      <sheetData sheetId="10">
        <row r="13">
          <cell r="C13">
            <v>1527.2697329044975</v>
          </cell>
        </row>
        <row r="15">
          <cell r="C15">
            <v>2345.0054778934973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ejercicio"/>
    </sheetNames>
    <sheetDataSet>
      <sheetData sheetId="0">
        <row r="44">
          <cell r="C44">
            <v>2015</v>
          </cell>
          <cell r="D44">
            <v>2016</v>
          </cell>
          <cell r="E44">
            <v>2017</v>
          </cell>
          <cell r="F44">
            <v>2018</v>
          </cell>
          <cell r="G44">
            <v>2019</v>
          </cell>
        </row>
        <row r="45">
          <cell r="B45" t="str">
            <v>Resultado Operacional</v>
          </cell>
          <cell r="C45">
            <v>41.058999999999997</v>
          </cell>
          <cell r="D45">
            <v>40.792999999999999</v>
          </cell>
          <cell r="E45">
            <v>47.98</v>
          </cell>
          <cell r="F45">
            <v>74.733999999999995</v>
          </cell>
          <cell r="G45">
            <v>96.2</v>
          </cell>
        </row>
        <row r="46">
          <cell r="B46" t="str">
            <v>Mg Operacional</v>
          </cell>
          <cell r="C46">
            <v>9.6320902332542743E-2</v>
          </cell>
          <cell r="D46">
            <v>0.10355340515621984</v>
          </cell>
          <cell r="E46">
            <v>0.10255949861700717</v>
          </cell>
          <cell r="F46">
            <v>0.14486140724946694</v>
          </cell>
          <cell r="G46">
            <v>0.18157795394488488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30712</v>
          </cell>
        </row>
      </sheetData>
      <sheetData sheetId="8">
        <row r="4">
          <cell r="G4">
            <v>15029864.481999999</v>
          </cell>
        </row>
        <row r="13">
          <cell r="G13">
            <v>20031990.749768559</v>
          </cell>
        </row>
        <row r="26">
          <cell r="G26">
            <v>1374571.0999999999</v>
          </cell>
        </row>
        <row r="35">
          <cell r="G35">
            <v>1640851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EERR"/>
      <sheetName val="NOTA6"/>
      <sheetName val="Highlights"/>
      <sheetName val="PRESENTACION"/>
      <sheetName val="Remolcadores"/>
      <sheetName val="Brasil"/>
      <sheetName val="Puertos"/>
      <sheetName val="Logistica"/>
      <sheetName val="Balance"/>
      <sheetName val="Flujo"/>
      <sheetName val="EBITDA"/>
      <sheetName val="volumenes "/>
      <sheetName val="Hoja1"/>
      <sheetName val="ingresos"/>
      <sheetName val="Indic Financieros"/>
    </sheetNames>
    <sheetDataSet>
      <sheetData sheetId="0"/>
      <sheetData sheetId="1"/>
      <sheetData sheetId="2"/>
      <sheetData sheetId="3"/>
      <sheetData sheetId="4"/>
      <sheetData sheetId="5">
        <row r="4">
          <cell r="M4">
            <v>81516</v>
          </cell>
        </row>
      </sheetData>
      <sheetData sheetId="6">
        <row r="53">
          <cell r="E53">
            <v>96772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D15">
            <v>17745610.319999997</v>
          </cell>
          <cell r="F15">
            <v>1728803</v>
          </cell>
          <cell r="G15">
            <v>1755836</v>
          </cell>
        </row>
        <row r="16">
          <cell r="D16">
            <v>21718256.359999999</v>
          </cell>
          <cell r="F16">
            <v>1708855</v>
          </cell>
          <cell r="G16">
            <v>1656215</v>
          </cell>
        </row>
        <row r="31">
          <cell r="H31">
            <v>17188881.506606501</v>
          </cell>
        </row>
        <row r="32">
          <cell r="H32">
            <v>20752927.960636798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>
        <row r="10">
          <cell r="G10">
            <v>60539.589144382204</v>
          </cell>
        </row>
      </sheetData>
      <sheetData sheetId="5"/>
      <sheetData sheetId="6">
        <row r="6">
          <cell r="H6">
            <v>69256</v>
          </cell>
          <cell r="M6">
            <v>58735</v>
          </cell>
        </row>
        <row r="10">
          <cell r="H10">
            <v>-2196</v>
          </cell>
        </row>
        <row r="11">
          <cell r="H11">
            <v>3444.8556799997996</v>
          </cell>
        </row>
        <row r="15">
          <cell r="H15">
            <v>3778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Tabla4" displayName="Tabla4" ref="B15:H27" headerRowCount="0" headerRowDxfId="75" dataDxfId="74" totalsRowDxfId="73">
  <tableColumns count="7">
    <tableColumn id="1" name="Columna1" totalsRowLabel="Total" headerRowDxfId="72" dataDxfId="71" totalsRowDxfId="70"/>
    <tableColumn id="2" name="Columna2" headerRowDxfId="69" dataDxfId="68" totalsRowDxfId="67"/>
    <tableColumn id="3" name="Columna3" headerRowDxfId="66" dataDxfId="65" totalsRowDxfId="64"/>
    <tableColumn id="4" name="Columna4" headerRowDxfId="63" dataDxfId="62" totalsRowDxfId="61"/>
    <tableColumn id="5" name="Columna5" headerRowDxfId="60" dataDxfId="59" dataCellStyle="Porcentaje"/>
    <tableColumn id="6" name="Columna6" headerRowDxfId="58" dataDxfId="57" totalsRowDxfId="56"/>
    <tableColumn id="7" name="Columna7" totalsRowFunction="count" headerRowDxfId="55" dataDxfId="54" totalsRowDxfId="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7" headerRowCount="0" totalsRowShown="0" headerRowDxfId="52" dataDxfId="51">
  <tableColumns count="7">
    <tableColumn id="1" name="Columna1" headerRowDxfId="50" dataDxfId="49"/>
    <tableColumn id="2" name="Columna2" headerRowDxfId="48" dataDxfId="47"/>
    <tableColumn id="3" name="Columna3" headerRowDxfId="46" dataDxfId="45"/>
    <tableColumn id="4" name="Columna4" headerRowDxfId="44" dataDxfId="43"/>
    <tableColumn id="5" name="Columna5" headerRowDxfId="42" dataDxfId="41" dataCellStyle="Porcentaje"/>
    <tableColumn id="6" name="Columna6" headerRowDxfId="40" dataDxfId="39"/>
    <tableColumn id="7" name="Columna7" headerRowDxfId="38" dataDxf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74" displayName="Tabla74" ref="B5:N16" headerRowCount="0" totalsRowCount="1" headerRowDxfId="36" dataDxfId="35">
  <tableColumns count="13">
    <tableColumn id="1" name="Columna1" headerRowDxfId="34" dataDxfId="33" totalsRowDxfId="32"/>
    <tableColumn id="8" name="Columna8" headerRowDxfId="31" dataDxfId="30" totalsRowDxfId="29"/>
    <tableColumn id="2" name="Columna2" headerRowDxfId="28" dataDxfId="27" totalsRowDxfId="26"/>
    <tableColumn id="3" name="Columna3" headerRowDxfId="25" dataDxfId="24" totalsRowDxfId="23"/>
    <tableColumn id="4" name="Columna4" headerRowDxfId="22" dataDxfId="21" totalsRowDxfId="20" dataCellStyle="Porcentaje"/>
    <tableColumn id="5" name="Columna5" headerRowDxfId="19" dataDxfId="18" totalsRowDxfId="17" dataCellStyle="Porcentaje"/>
    <tableColumn id="6" name="Columna6" totalsRowLabel="Total" headerRowDxfId="16" totalsRowDxfId="15"/>
    <tableColumn id="7" name="Columna7" headerRowDxfId="14" dataDxfId="13"/>
    <tableColumn id="13" name="Columna13" headerRowDxfId="12" dataDxfId="11"/>
    <tableColumn id="9" name="Columna9" totalsRowFunction="custom" headerRowDxfId="10" dataDxfId="9" totalsRowDxfId="8">
      <totalsRowFormula>+SUM(K6:K15)</totalsRowFormula>
    </tableColumn>
    <tableColumn id="10" name="Columna10" totalsRowFunction="custom" headerRowDxfId="7" dataDxfId="6" totalsRowDxfId="5">
      <totalsRowFormula>+SUM(L6:L15)</totalsRowFormula>
    </tableColumn>
    <tableColumn id="11" name="Columna11" headerRowDxfId="4" dataDxfId="3" totalsRowDxfId="2"/>
    <tableColumn id="12" name="Columna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showGridLines="0" tabSelected="1" zoomScale="85" zoomScaleNormal="85" workbookViewId="0">
      <selection activeCell="D9" sqref="D9"/>
    </sheetView>
  </sheetViews>
  <sheetFormatPr baseColWidth="10" defaultRowHeight="15"/>
  <cols>
    <col min="1" max="1" width="5.7109375" customWidth="1"/>
    <col min="2" max="2" width="23.28515625" style="29" customWidth="1"/>
    <col min="3" max="3" width="11.42578125" style="29" customWidth="1"/>
    <col min="4" max="4" width="36" style="29" customWidth="1"/>
    <col min="5" max="6" width="12.7109375" style="29" customWidth="1"/>
    <col min="7" max="7" width="28.42578125" style="29" customWidth="1"/>
    <col min="8" max="8" width="53.140625" style="29" customWidth="1"/>
  </cols>
  <sheetData>
    <row r="2" spans="2:8">
      <c r="B2" s="3" t="s">
        <v>2</v>
      </c>
      <c r="C2" s="4"/>
      <c r="D2" s="4"/>
      <c r="E2" s="4"/>
      <c r="F2" s="4"/>
      <c r="G2" s="4"/>
      <c r="H2" s="4"/>
    </row>
    <row r="3" spans="2:8">
      <c r="B3" s="4"/>
      <c r="C3" s="4"/>
      <c r="D3" s="4"/>
      <c r="E3" s="4"/>
      <c r="F3" s="4"/>
      <c r="G3" s="4"/>
      <c r="H3" s="4"/>
    </row>
    <row r="4" spans="2:8">
      <c r="B4" s="5" t="s">
        <v>3</v>
      </c>
      <c r="C4" s="4"/>
      <c r="D4" s="4"/>
      <c r="E4" s="4"/>
      <c r="F4" s="4"/>
      <c r="G4" s="4"/>
      <c r="H4" s="4"/>
    </row>
    <row r="5" spans="2:8">
      <c r="B5" s="4"/>
      <c r="C5" s="4"/>
      <c r="D5" s="4"/>
      <c r="E5" s="4"/>
      <c r="F5" s="4"/>
      <c r="G5" s="4"/>
      <c r="H5" s="4"/>
    </row>
    <row r="6" spans="2:8">
      <c r="B6" s="4"/>
      <c r="C6" s="4"/>
      <c r="D6" s="4"/>
      <c r="E6" s="4"/>
      <c r="F6" s="4"/>
      <c r="G6" s="4"/>
      <c r="H6" s="4"/>
    </row>
    <row r="7" spans="2:8">
      <c r="B7" s="6" t="s">
        <v>4</v>
      </c>
      <c r="C7" s="7"/>
      <c r="D7" s="204" t="s">
        <v>5</v>
      </c>
      <c r="E7" s="204"/>
      <c r="F7" s="204"/>
      <c r="G7" s="4"/>
      <c r="H7" s="4"/>
    </row>
    <row r="8" spans="2:8">
      <c r="B8" s="8" t="s">
        <v>1</v>
      </c>
      <c r="C8" s="9"/>
      <c r="D8" s="9" t="s">
        <v>259</v>
      </c>
      <c r="E8" s="9"/>
      <c r="F8" s="10"/>
      <c r="G8" s="4"/>
      <c r="H8" s="4"/>
    </row>
    <row r="9" spans="2:8">
      <c r="B9" s="11" t="s">
        <v>0</v>
      </c>
      <c r="C9" s="12"/>
      <c r="D9" s="12" t="s">
        <v>6</v>
      </c>
      <c r="E9" s="12"/>
      <c r="F9" s="13"/>
      <c r="G9" s="4"/>
      <c r="H9" s="4"/>
    </row>
    <row r="10" spans="2:8">
      <c r="B10" s="8" t="s">
        <v>7</v>
      </c>
      <c r="C10" s="9"/>
      <c r="D10" s="9" t="s">
        <v>8</v>
      </c>
      <c r="E10" s="9"/>
      <c r="F10" s="10"/>
      <c r="G10" s="4"/>
      <c r="H10" s="4"/>
    </row>
    <row r="11" spans="2:8">
      <c r="B11" s="4"/>
      <c r="C11" s="4"/>
      <c r="D11" s="4"/>
      <c r="E11" s="4"/>
      <c r="F11" s="4"/>
      <c r="G11" s="4"/>
      <c r="H11" s="4"/>
    </row>
    <row r="12" spans="2:8">
      <c r="B12" s="4"/>
      <c r="C12" s="4"/>
      <c r="D12" s="4"/>
      <c r="E12" s="4"/>
      <c r="F12" s="4"/>
      <c r="G12" s="4"/>
      <c r="H12" s="4"/>
    </row>
    <row r="13" spans="2:8">
      <c r="B13" s="14" t="s">
        <v>9</v>
      </c>
      <c r="C13" s="15"/>
      <c r="D13" s="15"/>
      <c r="E13" s="15"/>
      <c r="F13" s="15"/>
      <c r="G13" s="15"/>
      <c r="H13" s="15"/>
    </row>
    <row r="15" spans="2:8">
      <c r="B15" s="16" t="s">
        <v>10</v>
      </c>
      <c r="C15" s="16"/>
      <c r="D15" s="16"/>
      <c r="E15" s="16"/>
      <c r="F15" s="17" t="s">
        <v>11</v>
      </c>
      <c r="G15" s="16" t="s">
        <v>12</v>
      </c>
      <c r="H15" s="16"/>
    </row>
    <row r="16" spans="2:8">
      <c r="B16" s="15" t="s">
        <v>13</v>
      </c>
      <c r="C16" s="15"/>
      <c r="D16" s="15"/>
      <c r="E16" s="18" t="s">
        <v>14</v>
      </c>
      <c r="F16" s="19">
        <v>1</v>
      </c>
      <c r="G16" s="18" t="s">
        <v>15</v>
      </c>
      <c r="H16" s="18"/>
    </row>
    <row r="17" spans="2:8">
      <c r="B17" s="15" t="s">
        <v>16</v>
      </c>
      <c r="C17" s="15"/>
      <c r="D17" s="15"/>
      <c r="E17" s="18" t="s">
        <v>14</v>
      </c>
      <c r="F17" s="19">
        <v>1</v>
      </c>
      <c r="G17" s="18" t="s">
        <v>17</v>
      </c>
      <c r="H17" s="18"/>
    </row>
    <row r="18" spans="2:8">
      <c r="B18" s="15" t="s">
        <v>18</v>
      </c>
      <c r="C18" s="15"/>
      <c r="D18" s="15"/>
      <c r="E18" s="18" t="s">
        <v>14</v>
      </c>
      <c r="F18" s="19">
        <v>1</v>
      </c>
      <c r="G18" s="18" t="s">
        <v>17</v>
      </c>
      <c r="H18" s="18"/>
    </row>
    <row r="19" spans="2:8">
      <c r="B19" s="15" t="s">
        <v>19</v>
      </c>
      <c r="C19" s="15"/>
      <c r="D19" s="18"/>
      <c r="E19" s="18" t="s">
        <v>14</v>
      </c>
      <c r="F19" s="19">
        <v>1</v>
      </c>
      <c r="G19" s="18" t="s">
        <v>17</v>
      </c>
      <c r="H19" s="18"/>
    </row>
    <row r="20" spans="2:8">
      <c r="B20" s="15" t="s">
        <v>20</v>
      </c>
      <c r="C20" s="15"/>
      <c r="D20" s="18"/>
      <c r="E20" s="18" t="s">
        <v>14</v>
      </c>
      <c r="F20" s="19">
        <v>1</v>
      </c>
      <c r="G20" s="18" t="s">
        <v>21</v>
      </c>
      <c r="H20" s="18"/>
    </row>
    <row r="21" spans="2:8">
      <c r="B21" s="15" t="s">
        <v>22</v>
      </c>
      <c r="C21" s="15"/>
      <c r="D21" s="15"/>
      <c r="E21" s="18" t="s">
        <v>14</v>
      </c>
      <c r="F21" s="19">
        <v>1</v>
      </c>
      <c r="G21" s="18" t="s">
        <v>17</v>
      </c>
      <c r="H21" s="18"/>
    </row>
    <row r="22" spans="2:8">
      <c r="B22" s="18" t="s">
        <v>23</v>
      </c>
      <c r="C22" s="18"/>
      <c r="D22" s="15"/>
      <c r="E22" s="18" t="s">
        <v>14</v>
      </c>
      <c r="F22" s="19">
        <v>0.7</v>
      </c>
      <c r="G22" s="18" t="s">
        <v>17</v>
      </c>
      <c r="H22" s="18"/>
    </row>
    <row r="23" spans="2:8">
      <c r="B23" s="18" t="s">
        <v>24</v>
      </c>
      <c r="C23" s="18"/>
      <c r="D23" s="20"/>
      <c r="E23" s="18" t="s">
        <v>14</v>
      </c>
      <c r="F23" s="19">
        <v>1</v>
      </c>
      <c r="G23" s="18" t="s">
        <v>17</v>
      </c>
      <c r="H23" s="15"/>
    </row>
    <row r="24" spans="2:8">
      <c r="B24" s="20" t="s">
        <v>25</v>
      </c>
      <c r="C24" s="20"/>
      <c r="D24" s="20"/>
      <c r="E24" s="18" t="s">
        <v>14</v>
      </c>
      <c r="F24" s="19">
        <v>1</v>
      </c>
      <c r="G24" s="18" t="s">
        <v>17</v>
      </c>
      <c r="H24" s="18"/>
    </row>
    <row r="25" spans="2:8">
      <c r="B25" s="15" t="s">
        <v>159</v>
      </c>
      <c r="C25" s="15"/>
      <c r="D25" s="20"/>
      <c r="E25" s="18" t="s">
        <v>14</v>
      </c>
      <c r="F25" s="19">
        <v>1</v>
      </c>
      <c r="G25" s="18" t="s">
        <v>15</v>
      </c>
      <c r="H25" s="18"/>
    </row>
    <row r="26" spans="2:8">
      <c r="B26" s="15" t="s">
        <v>27</v>
      </c>
      <c r="C26" s="15"/>
      <c r="D26" s="20"/>
      <c r="E26" s="18" t="s">
        <v>26</v>
      </c>
      <c r="F26" s="19">
        <v>0.4</v>
      </c>
      <c r="G26" s="18" t="s">
        <v>17</v>
      </c>
      <c r="H26" s="18"/>
    </row>
    <row r="27" spans="2:8">
      <c r="B27" s="15" t="s">
        <v>28</v>
      </c>
      <c r="C27" s="15"/>
      <c r="D27" s="20"/>
      <c r="E27" s="18" t="s">
        <v>26</v>
      </c>
      <c r="F27" s="19">
        <v>0.25</v>
      </c>
      <c r="G27" s="18" t="s">
        <v>29</v>
      </c>
      <c r="H27" s="18"/>
    </row>
    <row r="28" spans="2:8" ht="2.1" customHeight="1">
      <c r="B28" s="15"/>
      <c r="C28" s="15"/>
      <c r="D28" s="20"/>
      <c r="E28" s="18"/>
      <c r="F28" s="19"/>
      <c r="G28" s="18"/>
      <c r="H28" s="18"/>
    </row>
    <row r="29" spans="2:8">
      <c r="B29" s="20" t="s">
        <v>158</v>
      </c>
      <c r="C29" s="20"/>
      <c r="D29" s="20"/>
      <c r="E29" s="20"/>
      <c r="F29" s="20"/>
      <c r="G29" s="20"/>
      <c r="H29" s="20"/>
    </row>
    <row r="30" spans="2:8">
      <c r="B30" s="20"/>
      <c r="C30" s="20"/>
      <c r="D30" s="20"/>
      <c r="E30" s="20"/>
      <c r="F30" s="20"/>
      <c r="G30" s="20"/>
      <c r="H30" s="20"/>
    </row>
    <row r="31" spans="2:8">
      <c r="B31" s="20"/>
      <c r="C31" s="20"/>
      <c r="D31" s="20"/>
      <c r="E31" s="20"/>
      <c r="F31" s="20"/>
      <c r="G31" s="20"/>
      <c r="H31" s="20"/>
    </row>
    <row r="32" spans="2:8">
      <c r="B32" s="20"/>
      <c r="C32" s="20"/>
      <c r="D32" s="20"/>
      <c r="E32" s="20"/>
      <c r="F32" s="20"/>
      <c r="G32" s="20"/>
      <c r="H32" s="20"/>
    </row>
    <row r="33" spans="2:8">
      <c r="B33" s="20"/>
      <c r="C33" s="20"/>
      <c r="D33" s="20"/>
      <c r="E33" s="20"/>
      <c r="F33" s="20"/>
      <c r="G33" s="20"/>
      <c r="H33" s="20"/>
    </row>
    <row r="34" spans="2:8">
      <c r="B34" s="14" t="s">
        <v>30</v>
      </c>
      <c r="C34" s="15"/>
      <c r="D34" s="15"/>
      <c r="E34" s="15"/>
      <c r="F34" s="15"/>
      <c r="G34" s="15"/>
      <c r="H34" s="20"/>
    </row>
    <row r="36" spans="2:8">
      <c r="B36" s="16" t="s">
        <v>10</v>
      </c>
      <c r="C36" s="16"/>
      <c r="D36" s="16" t="s">
        <v>31</v>
      </c>
      <c r="E36" s="16"/>
      <c r="F36" s="17" t="s">
        <v>11</v>
      </c>
      <c r="G36" s="16" t="s">
        <v>32</v>
      </c>
      <c r="H36" s="16" t="s">
        <v>33</v>
      </c>
    </row>
    <row r="37" spans="2:8">
      <c r="B37" s="15" t="s">
        <v>19</v>
      </c>
      <c r="C37" s="15" t="s">
        <v>34</v>
      </c>
      <c r="D37" s="15" t="s">
        <v>35</v>
      </c>
      <c r="E37" s="18" t="s">
        <v>14</v>
      </c>
      <c r="F37" s="19">
        <v>1</v>
      </c>
      <c r="G37" s="18" t="s">
        <v>36</v>
      </c>
      <c r="H37" s="20">
        <v>2030</v>
      </c>
    </row>
    <row r="38" spans="2:8">
      <c r="B38" s="15" t="s">
        <v>19</v>
      </c>
      <c r="C38" s="15" t="s">
        <v>37</v>
      </c>
      <c r="D38" s="15" t="s">
        <v>38</v>
      </c>
      <c r="E38" s="18" t="s">
        <v>26</v>
      </c>
      <c r="F38" s="19">
        <v>0.5</v>
      </c>
      <c r="G38" s="18" t="s">
        <v>36</v>
      </c>
      <c r="H38" s="18" t="s">
        <v>39</v>
      </c>
    </row>
    <row r="39" spans="2:8">
      <c r="B39" s="15" t="s">
        <v>19</v>
      </c>
      <c r="C39" s="15" t="s">
        <v>40</v>
      </c>
      <c r="D39" s="18" t="s">
        <v>41</v>
      </c>
      <c r="E39" s="18" t="s">
        <v>26</v>
      </c>
      <c r="F39" s="19">
        <v>0.5</v>
      </c>
      <c r="G39" s="18" t="s">
        <v>36</v>
      </c>
      <c r="H39" s="20">
        <v>2029</v>
      </c>
    </row>
    <row r="40" spans="2:8">
      <c r="B40" s="15" t="s">
        <v>19</v>
      </c>
      <c r="C40" s="18" t="s">
        <v>42</v>
      </c>
      <c r="D40" s="18" t="s">
        <v>43</v>
      </c>
      <c r="E40" s="18" t="s">
        <v>26</v>
      </c>
      <c r="F40" s="19">
        <v>0.35</v>
      </c>
      <c r="G40" s="18" t="s">
        <v>44</v>
      </c>
      <c r="H40" s="20">
        <v>2033</v>
      </c>
    </row>
    <row r="41" spans="2:8">
      <c r="B41" s="15" t="s">
        <v>19</v>
      </c>
      <c r="C41" s="20" t="s">
        <v>45</v>
      </c>
      <c r="D41" s="18" t="s">
        <v>46</v>
      </c>
      <c r="E41" s="18" t="s">
        <v>26</v>
      </c>
      <c r="F41" s="19">
        <v>0.5</v>
      </c>
      <c r="G41" s="18" t="s">
        <v>47</v>
      </c>
      <c r="H41" s="18" t="s">
        <v>48</v>
      </c>
    </row>
    <row r="42" spans="2:8">
      <c r="B42" s="18" t="s">
        <v>22</v>
      </c>
      <c r="C42" s="15" t="s">
        <v>49</v>
      </c>
      <c r="D42" s="18" t="s">
        <v>50</v>
      </c>
      <c r="E42" s="18" t="s">
        <v>14</v>
      </c>
      <c r="F42" s="19">
        <v>1</v>
      </c>
      <c r="G42" s="18" t="s">
        <v>36</v>
      </c>
      <c r="H42" s="20">
        <v>2071</v>
      </c>
    </row>
    <row r="43" spans="2:8">
      <c r="B43" s="18" t="s">
        <v>51</v>
      </c>
      <c r="C43" s="15" t="s">
        <v>52</v>
      </c>
      <c r="D43" s="18" t="s">
        <v>53</v>
      </c>
      <c r="E43" s="18" t="s">
        <v>14</v>
      </c>
      <c r="F43" s="19">
        <v>1</v>
      </c>
      <c r="G43" s="18" t="s">
        <v>54</v>
      </c>
      <c r="H43" s="18" t="s">
        <v>55</v>
      </c>
    </row>
    <row r="44" spans="2:8">
      <c r="B44" s="18" t="s">
        <v>56</v>
      </c>
      <c r="C44" s="15" t="s">
        <v>57</v>
      </c>
      <c r="D44" s="18" t="s">
        <v>58</v>
      </c>
      <c r="E44" s="18" t="s">
        <v>26</v>
      </c>
      <c r="F44" s="19">
        <v>0.33329999999999999</v>
      </c>
      <c r="G44" s="18" t="s">
        <v>47</v>
      </c>
      <c r="H44" s="18" t="s">
        <v>48</v>
      </c>
    </row>
    <row r="45" spans="2:8">
      <c r="B45" s="18" t="s">
        <v>59</v>
      </c>
      <c r="C45" s="15" t="s">
        <v>60</v>
      </c>
      <c r="D45" s="18" t="s">
        <v>61</v>
      </c>
      <c r="E45" s="18" t="s">
        <v>14</v>
      </c>
      <c r="F45" s="19">
        <v>0.7</v>
      </c>
      <c r="G45" s="18" t="s">
        <v>36</v>
      </c>
      <c r="H45" s="18" t="s">
        <v>62</v>
      </c>
    </row>
    <row r="46" spans="2:8">
      <c r="B46" s="18" t="s">
        <v>24</v>
      </c>
      <c r="C46" s="15" t="s">
        <v>63</v>
      </c>
      <c r="D46" s="18" t="s">
        <v>64</v>
      </c>
      <c r="E46" s="18" t="s">
        <v>14</v>
      </c>
      <c r="F46" s="19">
        <v>0.51</v>
      </c>
      <c r="G46" s="18" t="s">
        <v>44</v>
      </c>
      <c r="H46" s="18">
        <v>2026</v>
      </c>
    </row>
    <row r="47" spans="2:8">
      <c r="B47" s="18"/>
      <c r="C47" s="15"/>
      <c r="D47" s="21"/>
      <c r="E47" s="18"/>
      <c r="F47" s="19"/>
      <c r="G47" s="18"/>
      <c r="H47" s="21"/>
    </row>
    <row r="48" spans="2:8">
      <c r="B48" s="15"/>
      <c r="C48" s="15"/>
      <c r="D48" s="20"/>
      <c r="E48" s="18"/>
      <c r="F48" s="18"/>
      <c r="G48" s="18"/>
      <c r="H48" s="20"/>
    </row>
    <row r="49" spans="2:8">
      <c r="B49" s="14" t="s">
        <v>65</v>
      </c>
      <c r="C49" s="15"/>
      <c r="D49"/>
      <c r="E49" s="15"/>
      <c r="F49" s="15"/>
      <c r="G49" s="15"/>
      <c r="H49" s="20"/>
    </row>
    <row r="50" spans="2:8">
      <c r="B50" s="15"/>
      <c r="C50" s="15"/>
      <c r="D50" s="15"/>
      <c r="E50" s="15"/>
      <c r="F50" s="15"/>
      <c r="G50" s="15"/>
      <c r="H50" s="20"/>
    </row>
    <row r="51" spans="2:8" ht="15" customHeight="1">
      <c r="B51" s="6" t="s">
        <v>10</v>
      </c>
      <c r="C51" s="7"/>
      <c r="D51" s="7" t="s">
        <v>31</v>
      </c>
      <c r="E51" s="7"/>
      <c r="F51" s="22" t="s">
        <v>11</v>
      </c>
      <c r="G51" s="7" t="s">
        <v>12</v>
      </c>
      <c r="H51" s="23"/>
    </row>
    <row r="52" spans="2:8" ht="15" customHeight="1">
      <c r="B52" s="8" t="s">
        <v>19</v>
      </c>
      <c r="C52" s="9"/>
      <c r="D52" s="9" t="s">
        <v>66</v>
      </c>
      <c r="E52" s="9" t="s">
        <v>14</v>
      </c>
      <c r="F52" s="24">
        <v>1</v>
      </c>
      <c r="G52" s="9" t="s">
        <v>147</v>
      </c>
      <c r="H52" s="25"/>
    </row>
    <row r="53" spans="2:8" ht="15" customHeight="1">
      <c r="B53" s="11" t="s">
        <v>20</v>
      </c>
      <c r="C53" s="12"/>
      <c r="D53" s="12" t="s">
        <v>67</v>
      </c>
      <c r="E53" s="12" t="s">
        <v>26</v>
      </c>
      <c r="F53" s="26">
        <v>0.75</v>
      </c>
      <c r="G53" s="12" t="s">
        <v>147</v>
      </c>
      <c r="H53" s="27"/>
    </row>
    <row r="54" spans="2:8" ht="15" customHeight="1">
      <c r="B54" s="8" t="s">
        <v>19</v>
      </c>
      <c r="C54" s="9"/>
      <c r="D54" s="9" t="s">
        <v>68</v>
      </c>
      <c r="E54" s="9" t="s">
        <v>26</v>
      </c>
      <c r="F54" s="24">
        <v>0.5</v>
      </c>
      <c r="G54" s="9" t="s">
        <v>69</v>
      </c>
      <c r="H54" s="25"/>
    </row>
    <row r="55" spans="2:8" ht="15" customHeight="1">
      <c r="B55" s="11" t="s">
        <v>19</v>
      </c>
      <c r="C55" s="12"/>
      <c r="D55" s="12" t="s">
        <v>70</v>
      </c>
      <c r="E55" s="12" t="s">
        <v>26</v>
      </c>
      <c r="F55" s="26">
        <v>0.5</v>
      </c>
      <c r="G55" s="12" t="s">
        <v>146</v>
      </c>
      <c r="H55" s="27"/>
    </row>
    <row r="56" spans="2:8" ht="15" customHeight="1">
      <c r="B56" s="8" t="s">
        <v>22</v>
      </c>
      <c r="C56" s="9"/>
      <c r="D56" s="9" t="s">
        <v>70</v>
      </c>
      <c r="E56" s="9" t="s">
        <v>26</v>
      </c>
      <c r="F56" s="26">
        <v>0.5</v>
      </c>
      <c r="G56" s="9" t="s">
        <v>146</v>
      </c>
      <c r="H56" s="25"/>
    </row>
    <row r="57" spans="2:8" ht="15" customHeight="1">
      <c r="B57" s="11" t="s">
        <v>56</v>
      </c>
      <c r="C57" s="12"/>
      <c r="D57" s="12" t="s">
        <v>70</v>
      </c>
      <c r="E57" s="12" t="s">
        <v>26</v>
      </c>
      <c r="F57" s="26">
        <v>0.5</v>
      </c>
      <c r="G57" s="12" t="s">
        <v>146</v>
      </c>
      <c r="H57" s="27"/>
    </row>
    <row r="59" spans="2:8" ht="15" customHeight="1">
      <c r="B59" s="28" t="s">
        <v>148</v>
      </c>
    </row>
    <row r="60" spans="2:8" ht="15" customHeight="1">
      <c r="B60" s="205"/>
      <c r="C60" s="205"/>
      <c r="D60" s="205"/>
      <c r="E60" s="205"/>
      <c r="F60" s="205"/>
      <c r="G60" s="205"/>
      <c r="H60" s="205"/>
    </row>
    <row r="61" spans="2:8">
      <c r="B61" s="205"/>
      <c r="C61" s="205"/>
      <c r="D61" s="205"/>
      <c r="E61" s="205"/>
      <c r="F61" s="205"/>
      <c r="G61" s="205"/>
      <c r="H61" s="205"/>
    </row>
  </sheetData>
  <mergeCells count="2">
    <mergeCell ref="D7:F7"/>
    <mergeCell ref="B60:H61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8" sqref="I8"/>
    </sheetView>
  </sheetViews>
  <sheetFormatPr baseColWidth="10" defaultRowHeight="15"/>
  <cols>
    <col min="1" max="1" width="5.7109375" customWidth="1"/>
    <col min="2" max="2" width="26.140625" customWidth="1"/>
    <col min="3" max="3" width="12.42578125" customWidth="1"/>
    <col min="4" max="4" width="12.85546875" bestFit="1" customWidth="1"/>
  </cols>
  <sheetData>
    <row r="1" spans="2:7">
      <c r="B1" s="30" t="s">
        <v>2</v>
      </c>
      <c r="C1" s="71"/>
      <c r="D1" s="82"/>
    </row>
    <row r="2" spans="2:7">
      <c r="B2" s="59" t="s">
        <v>155</v>
      </c>
      <c r="C2" s="59"/>
      <c r="D2" s="115" t="s">
        <v>161</v>
      </c>
      <c r="E2" s="115" t="s">
        <v>254</v>
      </c>
      <c r="F2" s="115" t="s">
        <v>257</v>
      </c>
      <c r="G2" s="115" t="s">
        <v>258</v>
      </c>
    </row>
    <row r="3" spans="2:7" ht="6.95" customHeight="1">
      <c r="B3" s="60"/>
      <c r="C3" s="60"/>
    </row>
    <row r="4" spans="2:7">
      <c r="B4" s="61" t="s">
        <v>34</v>
      </c>
      <c r="C4" s="62" t="s">
        <v>14</v>
      </c>
      <c r="D4" s="63">
        <v>11706.66006</v>
      </c>
      <c r="E4" s="63">
        <v>9865.1249100000005</v>
      </c>
      <c r="F4" s="34">
        <v>22746.927169999999</v>
      </c>
      <c r="G4" s="34">
        <v>20154.101569999999</v>
      </c>
    </row>
    <row r="5" spans="2:7">
      <c r="B5" s="61" t="s">
        <v>49</v>
      </c>
      <c r="C5" s="62" t="s">
        <v>14</v>
      </c>
      <c r="D5" s="63">
        <v>22515.08354</v>
      </c>
      <c r="E5" s="63">
        <v>23253.707444</v>
      </c>
      <c r="F5" s="34">
        <v>49985.025559999995</v>
      </c>
      <c r="G5" s="34">
        <v>46562.486384000003</v>
      </c>
    </row>
    <row r="6" spans="2:7">
      <c r="B6" s="61" t="s">
        <v>60</v>
      </c>
      <c r="C6" s="62" t="s">
        <v>14</v>
      </c>
      <c r="D6" s="63">
        <v>11786.817300000001</v>
      </c>
      <c r="E6" s="63">
        <v>10204.82165</v>
      </c>
      <c r="F6" s="34">
        <v>24435.720109999998</v>
      </c>
      <c r="G6" s="34">
        <v>22335.815880000002</v>
      </c>
    </row>
    <row r="7" spans="2:7">
      <c r="B7" s="61" t="s">
        <v>52</v>
      </c>
      <c r="C7" s="62" t="s">
        <v>14</v>
      </c>
      <c r="D7" s="63">
        <v>4805.5654699999996</v>
      </c>
      <c r="E7" s="63">
        <v>3277.8542427406001</v>
      </c>
      <c r="F7" s="34">
        <v>8775.6136800000004</v>
      </c>
      <c r="G7" s="34">
        <v>7954.6822470959005</v>
      </c>
    </row>
    <row r="8" spans="2:7">
      <c r="B8" s="61" t="s">
        <v>142</v>
      </c>
      <c r="C8" s="62" t="s">
        <v>14</v>
      </c>
      <c r="D8" s="63">
        <v>16433.15151</v>
      </c>
      <c r="E8" s="63">
        <v>15980.193388199999</v>
      </c>
      <c r="F8" s="34">
        <v>31727.586500000001</v>
      </c>
      <c r="G8" s="34">
        <v>30159.244025</v>
      </c>
    </row>
    <row r="9" spans="2:7">
      <c r="B9" s="61" t="s">
        <v>37</v>
      </c>
      <c r="C9" s="62" t="s">
        <v>26</v>
      </c>
      <c r="D9" s="63">
        <v>26508.786345083201</v>
      </c>
      <c r="E9" s="63">
        <v>21510.491609795499</v>
      </c>
      <c r="F9" s="34">
        <v>54321.786345083201</v>
      </c>
      <c r="G9" s="34">
        <v>44000.491609795499</v>
      </c>
    </row>
    <row r="10" spans="2:7">
      <c r="B10" s="61" t="s">
        <v>40</v>
      </c>
      <c r="C10" s="62" t="s">
        <v>26</v>
      </c>
      <c r="D10" s="63">
        <v>14120.968469999998</v>
      </c>
      <c r="E10" s="63">
        <v>10569.2271950016</v>
      </c>
      <c r="F10" s="34">
        <v>29191.45393</v>
      </c>
      <c r="G10" s="34">
        <v>21169.2271950016</v>
      </c>
    </row>
    <row r="11" spans="2:7">
      <c r="B11" s="61" t="s">
        <v>42</v>
      </c>
      <c r="C11" s="62" t="s">
        <v>26</v>
      </c>
      <c r="D11" s="63">
        <v>12547.991329999999</v>
      </c>
      <c r="E11" s="63">
        <v>11469.04242</v>
      </c>
      <c r="F11" s="34">
        <v>25858.765729999999</v>
      </c>
      <c r="G11" s="34">
        <v>23439.531794800001</v>
      </c>
    </row>
    <row r="12" spans="2:7">
      <c r="B12" s="61" t="s">
        <v>45</v>
      </c>
      <c r="C12" s="62" t="s">
        <v>26</v>
      </c>
      <c r="D12" s="63">
        <v>5189.3969999999999</v>
      </c>
      <c r="E12" s="63">
        <v>4259.5159999999996</v>
      </c>
      <c r="F12" s="34">
        <v>9809.1606800000009</v>
      </c>
      <c r="G12" s="34">
        <v>8880.5159999999996</v>
      </c>
    </row>
    <row r="13" spans="2:7">
      <c r="B13" s="61" t="s">
        <v>57</v>
      </c>
      <c r="C13" s="62" t="s">
        <v>26</v>
      </c>
      <c r="D13" s="63">
        <v>981.73918974590003</v>
      </c>
      <c r="E13" s="63">
        <v>950.51413409919996</v>
      </c>
      <c r="F13" s="34">
        <v>1933.7391897459001</v>
      </c>
      <c r="G13" s="34">
        <v>1849.5141340992</v>
      </c>
    </row>
    <row r="14" spans="2:7" s="54" customFormat="1" ht="6.95" customHeight="1">
      <c r="B14" s="28"/>
      <c r="C14" s="64"/>
    </row>
    <row r="15" spans="2:7" s="67" customFormat="1" hidden="1">
      <c r="B15" s="65" t="s">
        <v>113</v>
      </c>
      <c r="C15" s="65"/>
    </row>
    <row r="16" spans="2:7" s="67" customFormat="1">
      <c r="B16" s="68" t="s">
        <v>143</v>
      </c>
      <c r="C16" s="42"/>
    </row>
    <row r="17" spans="2:7">
      <c r="C17" s="54"/>
    </row>
    <row r="18" spans="2:7">
      <c r="B18" s="59" t="s">
        <v>144</v>
      </c>
      <c r="C18" s="87"/>
      <c r="D18" s="115" t="s">
        <v>161</v>
      </c>
      <c r="E18" s="115" t="s">
        <v>254</v>
      </c>
      <c r="F18" s="115" t="s">
        <v>257</v>
      </c>
      <c r="G18" s="115" t="s">
        <v>258</v>
      </c>
    </row>
    <row r="19" spans="2:7" ht="3.75" customHeight="1">
      <c r="C19" s="28"/>
    </row>
    <row r="20" spans="2:7" s="67" customFormat="1">
      <c r="B20" s="65" t="s">
        <v>114</v>
      </c>
      <c r="C20" s="89"/>
      <c r="D20" s="106">
        <v>67246.999649999983</v>
      </c>
      <c r="E20" s="106">
        <v>62910.515018844693</v>
      </c>
      <c r="F20" s="106">
        <v>138186.99964999998</v>
      </c>
      <c r="G20" s="106">
        <v>127929</v>
      </c>
    </row>
    <row r="21" spans="2:7">
      <c r="B21" s="28" t="s">
        <v>74</v>
      </c>
      <c r="C21" s="28"/>
      <c r="D21" s="107">
        <v>-46631.727680403274</v>
      </c>
      <c r="E21" s="107">
        <v>-43604</v>
      </c>
      <c r="F21" s="107">
        <v>-96667.727680403274</v>
      </c>
      <c r="G21" s="107">
        <v>-88494</v>
      </c>
    </row>
    <row r="22" spans="2:7" s="67" customFormat="1">
      <c r="B22" s="72" t="s">
        <v>115</v>
      </c>
      <c r="C22" s="72"/>
      <c r="D22" s="108">
        <v>20615.27196959671</v>
      </c>
      <c r="E22" s="108">
        <v>19306.515018844693</v>
      </c>
      <c r="F22" s="108">
        <v>41519.27196959671</v>
      </c>
      <c r="G22" s="108">
        <v>39435</v>
      </c>
    </row>
    <row r="23" spans="2:7">
      <c r="B23" s="28" t="s">
        <v>76</v>
      </c>
      <c r="C23" s="28"/>
      <c r="D23" s="107">
        <v>-5062.8832275735003</v>
      </c>
      <c r="E23" s="107">
        <v>-5241.8609642415995</v>
      </c>
      <c r="F23" s="107">
        <v>-11055.8832275735</v>
      </c>
      <c r="G23" s="107">
        <v>-10477</v>
      </c>
    </row>
    <row r="24" spans="2:7" s="46" customFormat="1">
      <c r="B24" s="65" t="s">
        <v>116</v>
      </c>
      <c r="C24" s="65"/>
      <c r="D24" s="106">
        <v>15552.388742023209</v>
      </c>
      <c r="E24" s="106">
        <v>14064.654054603094</v>
      </c>
      <c r="F24" s="106">
        <v>30463.388742023209</v>
      </c>
      <c r="G24" s="106">
        <v>28958</v>
      </c>
    </row>
    <row r="25" spans="2:7" s="129" customFormat="1">
      <c r="B25" s="72" t="s">
        <v>90</v>
      </c>
      <c r="C25" s="72"/>
      <c r="D25" s="108">
        <v>25789.682951778108</v>
      </c>
      <c r="E25" s="108">
        <v>24613.02439334341</v>
      </c>
      <c r="F25" s="108">
        <v>50848.682951778108</v>
      </c>
      <c r="G25" s="108">
        <v>49980.529873784719</v>
      </c>
    </row>
    <row r="26" spans="2:7">
      <c r="B26" s="28" t="s">
        <v>117</v>
      </c>
      <c r="C26" s="28"/>
      <c r="D26" s="108">
        <v>10237.294209754898</v>
      </c>
      <c r="E26" s="107">
        <v>10547.556409633697</v>
      </c>
      <c r="F26" s="107">
        <v>20385.294209754898</v>
      </c>
      <c r="G26" s="107">
        <v>21021.715944678097</v>
      </c>
    </row>
    <row r="27" spans="2:7">
      <c r="B27" s="28" t="s">
        <v>118</v>
      </c>
      <c r="C27" s="28"/>
      <c r="D27" s="101">
        <v>0.38350681942697074</v>
      </c>
      <c r="E27" s="101">
        <v>0.39123864088492422</v>
      </c>
      <c r="F27" s="101">
        <v>0.36797009183619045</v>
      </c>
      <c r="G27" s="101">
        <v>0.39068960027659655</v>
      </c>
    </row>
    <row r="28" spans="2:7">
      <c r="B28" s="121" t="s">
        <v>163</v>
      </c>
      <c r="C28" s="28"/>
      <c r="D28" s="107">
        <v>1601.1137199999998</v>
      </c>
      <c r="E28" s="107">
        <v>-677.44049000000018</v>
      </c>
      <c r="F28" s="107">
        <v>3837.1137199999998</v>
      </c>
      <c r="G28" s="107">
        <v>-332.00000000000006</v>
      </c>
    </row>
    <row r="29" spans="2:7">
      <c r="B29" s="65" t="s">
        <v>71</v>
      </c>
      <c r="C29" s="65"/>
      <c r="D29" s="106">
        <v>9681.1001107144111</v>
      </c>
      <c r="E29" s="106">
        <v>6816</v>
      </c>
      <c r="F29" s="106">
        <v>20406.100110714411</v>
      </c>
      <c r="G29" s="106">
        <v>15249</v>
      </c>
    </row>
    <row r="30" spans="2:7">
      <c r="B30" s="28" t="s">
        <v>139</v>
      </c>
      <c r="C30" s="28"/>
      <c r="D30" s="107">
        <v>1379.1604914956001</v>
      </c>
      <c r="E30" s="107">
        <v>1318</v>
      </c>
      <c r="F30" s="107">
        <v>2253.1604914956001</v>
      </c>
      <c r="G30" s="107">
        <v>2349</v>
      </c>
    </row>
    <row r="31" spans="2:7">
      <c r="B31" s="68" t="s">
        <v>145</v>
      </c>
      <c r="C31" s="68"/>
    </row>
    <row r="32" spans="2:7">
      <c r="B32" s="68"/>
      <c r="C32" s="84"/>
    </row>
    <row r="33" spans="2:7">
      <c r="B33" s="68"/>
      <c r="C33" s="84"/>
    </row>
    <row r="34" spans="2:7">
      <c r="B34" s="59" t="s">
        <v>149</v>
      </c>
      <c r="C34" s="28"/>
      <c r="D34" s="82" t="s">
        <v>161</v>
      </c>
      <c r="E34" s="203" t="s">
        <v>254</v>
      </c>
      <c r="F34" s="203" t="s">
        <v>257</v>
      </c>
      <c r="G34" s="203" t="s">
        <v>258</v>
      </c>
    </row>
    <row r="35" spans="2:7">
      <c r="C35" s="28"/>
    </row>
    <row r="36" spans="2:7">
      <c r="B36" s="65" t="s">
        <v>114</v>
      </c>
      <c r="C36" s="89"/>
      <c r="D36" s="106">
        <v>59348.882334829104</v>
      </c>
      <c r="E36" s="106">
        <v>48758.791358896298</v>
      </c>
      <c r="F36" s="106">
        <v>121114.9315826448</v>
      </c>
      <c r="G36" s="106">
        <v>99339.285923229094</v>
      </c>
    </row>
    <row r="37" spans="2:7" s="111" customFormat="1">
      <c r="B37" s="28" t="s">
        <v>74</v>
      </c>
      <c r="D37" s="107">
        <v>-47834.467738923893</v>
      </c>
      <c r="E37" s="107">
        <v>-42211.799100318698</v>
      </c>
      <c r="F37" s="107">
        <v>-96510.236544737796</v>
      </c>
      <c r="G37" s="107">
        <v>-84574.488702795803</v>
      </c>
    </row>
    <row r="38" spans="2:7">
      <c r="B38" s="72" t="s">
        <v>115</v>
      </c>
      <c r="C38" s="54"/>
      <c r="D38" s="108">
        <v>11514.414595905211</v>
      </c>
      <c r="E38" s="108">
        <v>6546.9922585776003</v>
      </c>
      <c r="F38" s="108">
        <v>24604.695037907004</v>
      </c>
      <c r="G38" s="108">
        <v>14764.797220433291</v>
      </c>
    </row>
    <row r="39" spans="2:7" s="111" customFormat="1">
      <c r="B39" s="28" t="s">
        <v>76</v>
      </c>
      <c r="D39" s="107">
        <v>-3181.9777525114987</v>
      </c>
      <c r="E39" s="107">
        <v>-3034.1299442565</v>
      </c>
      <c r="F39" s="107">
        <v>-5999.6529844724982</v>
      </c>
      <c r="G39" s="107">
        <v>-5725.2826240138002</v>
      </c>
    </row>
    <row r="40" spans="2:7">
      <c r="B40" s="65" t="s">
        <v>116</v>
      </c>
      <c r="C40" s="70"/>
      <c r="D40" s="106">
        <v>8332.4368433937125</v>
      </c>
      <c r="E40" s="106">
        <v>3512.8623143211003</v>
      </c>
      <c r="F40" s="106">
        <v>18605.042053434507</v>
      </c>
      <c r="G40" s="106">
        <v>9039.5145964194908</v>
      </c>
    </row>
    <row r="41" spans="2:7" s="130" customFormat="1">
      <c r="B41" s="72" t="s">
        <v>90</v>
      </c>
      <c r="C41" s="85"/>
      <c r="D41" s="108">
        <v>16363.788220503702</v>
      </c>
      <c r="E41" s="108">
        <v>13799.131973023203</v>
      </c>
      <c r="F41" s="108">
        <v>34274.996517601903</v>
      </c>
      <c r="G41" s="108">
        <v>28731.875926726996</v>
      </c>
    </row>
    <row r="42" spans="2:7">
      <c r="B42" s="28" t="s">
        <v>117</v>
      </c>
      <c r="C42" s="85"/>
      <c r="D42" s="108">
        <v>8031.3513771099897</v>
      </c>
      <c r="E42" s="108">
        <v>10286.269658702102</v>
      </c>
      <c r="F42" s="108">
        <v>15669.954464167389</v>
      </c>
      <c r="G42" s="108">
        <v>19692.361330307504</v>
      </c>
    </row>
    <row r="43" spans="2:7">
      <c r="B43" s="28" t="s">
        <v>118</v>
      </c>
      <c r="C43" s="88"/>
      <c r="D43" s="101">
        <v>0.2757219273007363</v>
      </c>
      <c r="E43" s="101">
        <v>0.28300808097257069</v>
      </c>
      <c r="F43" s="101"/>
      <c r="G43" s="101"/>
    </row>
    <row r="44" spans="2:7" ht="43.5" customHeight="1">
      <c r="B44" s="104" t="s">
        <v>138</v>
      </c>
      <c r="C44" s="70"/>
      <c r="D44" s="106">
        <v>1601.1137199999998</v>
      </c>
      <c r="E44" s="106">
        <v>-677.44049000000018</v>
      </c>
      <c r="F44" s="106">
        <v>3837.1137199999998</v>
      </c>
      <c r="G44" s="106">
        <v>-331.99998641660022</v>
      </c>
    </row>
    <row r="45" spans="2:7">
      <c r="B45" s="68" t="s">
        <v>150</v>
      </c>
      <c r="C45" s="84"/>
      <c r="D45" s="107"/>
    </row>
    <row r="46" spans="2:7">
      <c r="C46" s="84"/>
      <c r="D46" s="128"/>
    </row>
    <row r="47" spans="2:7">
      <c r="C47" s="84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zoomScale="110" zoomScaleNormal="11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baseColWidth="10" defaultRowHeight="15"/>
  <cols>
    <col min="1" max="1" width="5.7109375" customWidth="1"/>
    <col min="2" max="2" width="38.85546875" customWidth="1"/>
    <col min="3" max="3" width="5.7109375" style="54" customWidth="1"/>
  </cols>
  <sheetData>
    <row r="1" spans="2:7">
      <c r="B1" s="30" t="s">
        <v>2</v>
      </c>
      <c r="C1" s="58"/>
      <c r="D1" s="82"/>
    </row>
    <row r="2" spans="2:7">
      <c r="B2" s="29"/>
      <c r="C2" s="28"/>
    </row>
    <row r="4" spans="2:7">
      <c r="B4" s="59" t="s">
        <v>151</v>
      </c>
    </row>
    <row r="5" spans="2:7">
      <c r="D5" s="115" t="s">
        <v>161</v>
      </c>
      <c r="E5" s="115" t="s">
        <v>254</v>
      </c>
      <c r="F5" s="115" t="s">
        <v>257</v>
      </c>
      <c r="G5" s="115" t="s">
        <v>258</v>
      </c>
    </row>
    <row r="6" spans="2:7">
      <c r="B6" s="65" t="s">
        <v>114</v>
      </c>
      <c r="C6" s="70"/>
      <c r="D6" s="110">
        <v>11024.939780000001</v>
      </c>
      <c r="E6" s="110">
        <v>11595.263372997801</v>
      </c>
      <c r="F6" s="110">
        <v>23786.939780000001</v>
      </c>
      <c r="G6" s="110">
        <v>23208</v>
      </c>
    </row>
    <row r="7" spans="2:7">
      <c r="B7" s="28" t="s">
        <v>74</v>
      </c>
      <c r="C7" s="86"/>
      <c r="D7" s="117">
        <v>-9261.0806300000004</v>
      </c>
      <c r="E7" s="117">
        <v>-8423.056859999997</v>
      </c>
      <c r="F7" s="117">
        <v>-18952.08063</v>
      </c>
      <c r="G7" s="117">
        <v>-17379</v>
      </c>
    </row>
    <row r="8" spans="2:7">
      <c r="B8" s="72" t="s">
        <v>115</v>
      </c>
      <c r="C8" s="85"/>
      <c r="D8" s="109">
        <v>1763.8591500000002</v>
      </c>
      <c r="E8" s="109">
        <v>3172.2065129978037</v>
      </c>
      <c r="F8" s="109">
        <v>4834.8591500000002</v>
      </c>
      <c r="G8" s="109">
        <v>5829</v>
      </c>
    </row>
    <row r="9" spans="2:7">
      <c r="B9" s="28" t="s">
        <v>76</v>
      </c>
      <c r="C9" s="86"/>
      <c r="D9" s="117">
        <v>-1261.6081299999996</v>
      </c>
      <c r="E9" s="117">
        <v>-1085.4762459023</v>
      </c>
      <c r="F9" s="117">
        <v>-2571.6081299999996</v>
      </c>
      <c r="G9" s="117">
        <v>-2215</v>
      </c>
    </row>
    <row r="10" spans="2:7">
      <c r="B10" s="65" t="s">
        <v>116</v>
      </c>
      <c r="C10" s="70"/>
      <c r="D10" s="110">
        <v>502.25102000000061</v>
      </c>
      <c r="E10" s="110">
        <v>2086.7302670955037</v>
      </c>
      <c r="F10" s="110">
        <v>2263.2510200000006</v>
      </c>
      <c r="G10" s="110">
        <v>3614</v>
      </c>
    </row>
    <row r="11" spans="2:7" s="67" customFormat="1">
      <c r="B11" s="72" t="s">
        <v>90</v>
      </c>
      <c r="C11" s="131"/>
      <c r="D11" s="117">
        <v>1441.5706900000007</v>
      </c>
      <c r="E11" s="117">
        <v>2873.1922310739028</v>
      </c>
      <c r="F11" s="117">
        <v>4122.5706900000005</v>
      </c>
      <c r="G11" s="117">
        <v>5218.1977089673992</v>
      </c>
    </row>
    <row r="12" spans="2:7">
      <c r="B12" s="28" t="s">
        <v>117</v>
      </c>
      <c r="C12" s="84"/>
      <c r="D12" s="107">
        <v>939.31967000000009</v>
      </c>
      <c r="E12" s="107">
        <v>786.46196397840015</v>
      </c>
      <c r="F12" s="107">
        <v>1859.3196700000001</v>
      </c>
      <c r="G12" s="107">
        <v>1604.1977089674001</v>
      </c>
    </row>
    <row r="13" spans="2:7">
      <c r="B13" s="28" t="s">
        <v>118</v>
      </c>
      <c r="C13" s="84"/>
      <c r="D13" s="122">
        <f t="shared" ref="D13:E13" si="0">+D11/D6</f>
        <v>0.13075542531444109</v>
      </c>
      <c r="E13" s="122">
        <f t="shared" si="0"/>
        <v>0.24779016557440017</v>
      </c>
      <c r="F13" s="122">
        <f>+F11/F6</f>
        <v>0.17331236082189302</v>
      </c>
      <c r="G13" s="122">
        <f>+G11/G6</f>
        <v>0.22484478235812647</v>
      </c>
    </row>
    <row r="14" spans="2:7">
      <c r="B14" s="118" t="s">
        <v>163</v>
      </c>
      <c r="C14" s="84"/>
      <c r="D14" s="93">
        <v>1337.2922883000001</v>
      </c>
      <c r="E14" s="93">
        <v>457.81870830000025</v>
      </c>
      <c r="F14" s="93">
        <v>2580.2922883000001</v>
      </c>
      <c r="G14" s="93">
        <v>3698</v>
      </c>
    </row>
    <row r="15" spans="2:7">
      <c r="B15" s="65" t="s">
        <v>157</v>
      </c>
      <c r="C15" s="61"/>
      <c r="D15" s="120">
        <v>1642.3086083000007</v>
      </c>
      <c r="E15" s="120">
        <v>2078</v>
      </c>
      <c r="F15" s="120">
        <v>4568.3086083000007</v>
      </c>
      <c r="G15" s="120">
        <v>5855</v>
      </c>
    </row>
    <row r="16" spans="2:7">
      <c r="B16" s="28" t="s">
        <v>139</v>
      </c>
      <c r="D16" s="107"/>
      <c r="E16" s="107"/>
      <c r="F16" s="34"/>
      <c r="G16" s="34"/>
    </row>
    <row r="17" spans="2:7">
      <c r="B17" s="68" t="s">
        <v>152</v>
      </c>
      <c r="F17" s="34"/>
      <c r="G17" s="34"/>
    </row>
    <row r="18" spans="2:7">
      <c r="B18" s="68"/>
      <c r="C18" s="86"/>
      <c r="F18" s="34"/>
      <c r="G18" s="34"/>
    </row>
    <row r="19" spans="2:7">
      <c r="B19" s="59" t="s">
        <v>153</v>
      </c>
      <c r="C19" s="86"/>
      <c r="D19" s="82" t="s">
        <v>161</v>
      </c>
      <c r="E19" s="82" t="s">
        <v>254</v>
      </c>
      <c r="F19" s="82" t="s">
        <v>257</v>
      </c>
      <c r="G19" s="82" t="s">
        <v>258</v>
      </c>
    </row>
    <row r="20" spans="2:7">
      <c r="B20" s="65" t="s">
        <v>114</v>
      </c>
      <c r="C20" s="70"/>
      <c r="D20" s="106">
        <v>21681.189124596101</v>
      </c>
      <c r="E20" s="106">
        <v>15134.703330267201</v>
      </c>
      <c r="F20" s="106">
        <v>43458.559458045602</v>
      </c>
      <c r="G20" s="106">
        <v>35952.893501228202</v>
      </c>
    </row>
    <row r="21" spans="2:7">
      <c r="B21" s="28" t="s">
        <v>74</v>
      </c>
      <c r="C21" s="85"/>
      <c r="D21" s="107">
        <v>-15937.806845661898</v>
      </c>
      <c r="E21" s="107">
        <v>-11754.346127778399</v>
      </c>
      <c r="F21" s="107">
        <v>-32061.009500669199</v>
      </c>
      <c r="G21" s="107">
        <v>-27516.293697087101</v>
      </c>
    </row>
    <row r="22" spans="2:7">
      <c r="B22" s="72" t="s">
        <v>115</v>
      </c>
      <c r="C22" s="84"/>
      <c r="D22" s="108">
        <v>5743.382278934203</v>
      </c>
      <c r="E22" s="108">
        <v>3380.3572024888017</v>
      </c>
      <c r="F22" s="108">
        <v>11397.549957376403</v>
      </c>
      <c r="G22" s="108">
        <v>8436.5998041411003</v>
      </c>
    </row>
    <row r="23" spans="2:7">
      <c r="B23" s="28" t="s">
        <v>76</v>
      </c>
      <c r="C23" s="84"/>
      <c r="D23" s="107">
        <v>-1419.3168976380002</v>
      </c>
      <c r="E23" s="107">
        <v>-1434.9873552133001</v>
      </c>
      <c r="F23" s="107">
        <v>-3292.4945520973001</v>
      </c>
      <c r="G23" s="107">
        <v>-3046.4904174595003</v>
      </c>
    </row>
    <row r="24" spans="2:7">
      <c r="B24" s="72" t="s">
        <v>116</v>
      </c>
      <c r="C24" s="84"/>
      <c r="D24" s="108">
        <v>4324.0653812962028</v>
      </c>
      <c r="E24" s="108">
        <v>1945.3698472755016</v>
      </c>
      <c r="F24" s="108">
        <v>8105.0554052791031</v>
      </c>
      <c r="G24" s="108">
        <v>5390.1093866816</v>
      </c>
    </row>
    <row r="25" spans="2:7">
      <c r="B25" s="65" t="s">
        <v>90</v>
      </c>
      <c r="C25" s="65"/>
      <c r="D25" s="106">
        <v>5321.8058960962026</v>
      </c>
      <c r="E25" s="106">
        <v>4804.3692182892019</v>
      </c>
      <c r="F25" s="106">
        <v>10168.698830079102</v>
      </c>
      <c r="G25" s="106">
        <v>11317.259987695299</v>
      </c>
    </row>
    <row r="26" spans="2:7">
      <c r="B26" s="28" t="s">
        <v>117</v>
      </c>
      <c r="C26" s="28"/>
      <c r="D26" s="107">
        <v>997.7405147999998</v>
      </c>
      <c r="E26" s="107">
        <v>2858.9993710137001</v>
      </c>
      <c r="F26" s="107">
        <v>2063.6434247999991</v>
      </c>
      <c r="G26" s="107">
        <v>5927.1506010137</v>
      </c>
    </row>
    <row r="27" spans="2:7">
      <c r="B27" s="28" t="s">
        <v>118</v>
      </c>
      <c r="D27" s="88">
        <f t="shared" ref="D27:E27" si="1">+D25/D20</f>
        <v>0.2454572885976494</v>
      </c>
      <c r="E27" s="88">
        <f t="shared" si="1"/>
        <v>0.31744059420584503</v>
      </c>
      <c r="F27" s="88">
        <f>+F25/F20</f>
        <v>0.23398609978998147</v>
      </c>
      <c r="G27" s="88">
        <f>+G25/G20</f>
        <v>0.31478022728014049</v>
      </c>
    </row>
    <row r="28" spans="2:7" ht="26.25">
      <c r="B28" s="104" t="s">
        <v>138</v>
      </c>
      <c r="C28" s="89"/>
      <c r="D28" s="106">
        <v>1337.2922883000001</v>
      </c>
      <c r="E28" s="106">
        <v>457.81870830000025</v>
      </c>
      <c r="F28" s="106">
        <v>2580.2922883000001</v>
      </c>
      <c r="G28" s="106">
        <v>3698.1957370917003</v>
      </c>
    </row>
    <row r="29" spans="2:7">
      <c r="B29" s="68" t="s">
        <v>154</v>
      </c>
      <c r="D29" s="108"/>
    </row>
    <row r="30" spans="2:7">
      <c r="B30" s="6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showGridLines="0" zoomScaleNormal="100" workbookViewId="0">
      <selection activeCell="G9" sqref="G9"/>
    </sheetView>
  </sheetViews>
  <sheetFormatPr baseColWidth="10" defaultRowHeight="15"/>
  <cols>
    <col min="1" max="1" width="5.7109375" customWidth="1"/>
    <col min="2" max="2" width="25.85546875" style="29" bestFit="1" customWidth="1"/>
  </cols>
  <sheetData>
    <row r="1" spans="2:6">
      <c r="B1" s="30" t="s">
        <v>2</v>
      </c>
      <c r="C1" s="82" t="s">
        <v>161</v>
      </c>
      <c r="D1" s="82" t="s">
        <v>254</v>
      </c>
      <c r="E1" s="203" t="s">
        <v>257</v>
      </c>
      <c r="F1" s="203" t="s">
        <v>258</v>
      </c>
    </row>
    <row r="2" spans="2:6">
      <c r="B2" s="59" t="s">
        <v>141</v>
      </c>
    </row>
    <row r="3" spans="2:6">
      <c r="B3" s="83" t="s">
        <v>112</v>
      </c>
      <c r="C3" s="123">
        <v>18959</v>
      </c>
      <c r="D3" s="34">
        <v>26233</v>
      </c>
      <c r="E3" s="34">
        <v>38653</v>
      </c>
      <c r="F3" s="34">
        <v>53410</v>
      </c>
    </row>
    <row r="4" spans="2:6">
      <c r="B4" s="83" t="s">
        <v>140</v>
      </c>
      <c r="C4" s="34">
        <v>8138</v>
      </c>
      <c r="D4" s="34">
        <v>0</v>
      </c>
      <c r="E4" s="34">
        <v>14311</v>
      </c>
      <c r="F4" s="34">
        <v>0</v>
      </c>
    </row>
    <row r="5" spans="2:6" s="46" customFormat="1" ht="6" customHeight="1">
      <c r="B5" s="28"/>
    </row>
    <row r="6" spans="2:6" s="46" customFormat="1">
      <c r="B6" s="65" t="s">
        <v>113</v>
      </c>
      <c r="C6" s="127">
        <f>+C3+C4</f>
        <v>27097</v>
      </c>
      <c r="D6" s="127">
        <v>26233</v>
      </c>
      <c r="E6" s="127">
        <v>52964</v>
      </c>
      <c r="F6" s="127">
        <v>53410</v>
      </c>
    </row>
    <row r="7" spans="2:6" s="46" customFormat="1">
      <c r="B7" s="68" t="s">
        <v>256</v>
      </c>
    </row>
    <row r="8" spans="2:6" s="46" customFormat="1">
      <c r="B8" s="68"/>
    </row>
    <row r="9" spans="2:6" s="46" customFormat="1">
      <c r="B9" s="68"/>
    </row>
    <row r="10" spans="2:6">
      <c r="B10" s="68"/>
    </row>
    <row r="11" spans="2:6">
      <c r="B11" s="6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customProperties>
    <customPr name="_pios_id" r:id="rId2"/>
    <customPr name="EpmWorksheetKeyString_GUID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I14" sqref="I14"/>
    </sheetView>
  </sheetViews>
  <sheetFormatPr baseColWidth="10" defaultRowHeight="15"/>
  <cols>
    <col min="1" max="1" width="5.7109375" customWidth="1"/>
    <col min="2" max="2" width="27.5703125" style="29" customWidth="1"/>
  </cols>
  <sheetData>
    <row r="1" spans="2:6">
      <c r="B1" s="30" t="s">
        <v>2</v>
      </c>
    </row>
    <row r="2" spans="2:6">
      <c r="B2" s="73" t="s">
        <v>119</v>
      </c>
      <c r="C2" s="82" t="s">
        <v>161</v>
      </c>
      <c r="D2" s="82" t="s">
        <v>254</v>
      </c>
      <c r="E2" s="203" t="s">
        <v>257</v>
      </c>
      <c r="F2" s="203" t="s">
        <v>258</v>
      </c>
    </row>
    <row r="3" spans="2:6">
      <c r="B3" s="74"/>
    </row>
    <row r="4" spans="2:6">
      <c r="B4" s="90" t="s">
        <v>120</v>
      </c>
      <c r="C4" s="66">
        <v>4363783.32424</v>
      </c>
      <c r="D4" s="124">
        <f>+D6+D7+D8+D9+D10</f>
        <v>4053167.1488701999</v>
      </c>
      <c r="E4" s="124">
        <v>8497499.1548500005</v>
      </c>
      <c r="F4" s="124">
        <v>8088731.9571380997</v>
      </c>
    </row>
    <row r="5" spans="2:6">
      <c r="B5" s="76" t="s">
        <v>121</v>
      </c>
    </row>
    <row r="6" spans="2:6">
      <c r="B6" s="91" t="s">
        <v>34</v>
      </c>
      <c r="C6" s="105">
        <v>570321.79</v>
      </c>
      <c r="D6" s="105">
        <v>459128.20799999998</v>
      </c>
      <c r="E6" s="105">
        <v>1091832.6800000002</v>
      </c>
      <c r="F6" s="105">
        <v>968913.74699999997</v>
      </c>
    </row>
    <row r="7" spans="2:6">
      <c r="B7" s="91" t="s">
        <v>122</v>
      </c>
      <c r="C7" s="105">
        <v>1527525.69</v>
      </c>
      <c r="D7" s="105">
        <v>1556302.6</v>
      </c>
      <c r="E7" s="105">
        <v>3087305.5</v>
      </c>
      <c r="F7" s="105">
        <v>3055970.699</v>
      </c>
    </row>
    <row r="8" spans="2:6">
      <c r="B8" s="91" t="s">
        <v>60</v>
      </c>
      <c r="C8" s="105">
        <v>419238.40000000002</v>
      </c>
      <c r="D8" s="105">
        <v>309599.35999999999</v>
      </c>
      <c r="E8" s="105">
        <v>831069.6100000001</v>
      </c>
      <c r="F8" s="105">
        <v>719837.36</v>
      </c>
    </row>
    <row r="9" spans="2:6">
      <c r="B9" s="91" t="s">
        <v>52</v>
      </c>
      <c r="C9" s="105">
        <v>289383.19624000002</v>
      </c>
      <c r="D9" s="105">
        <v>207769.13894420001</v>
      </c>
      <c r="E9" s="105">
        <v>545506.43685000006</v>
      </c>
      <c r="F9" s="105">
        <v>506879.40921210003</v>
      </c>
    </row>
    <row r="10" spans="2:6">
      <c r="B10" s="91" t="s">
        <v>63</v>
      </c>
      <c r="C10" s="105">
        <v>1557314.2479999999</v>
      </c>
      <c r="D10" s="105">
        <v>1520367.8419260001</v>
      </c>
      <c r="E10" s="105">
        <v>2941784.9279999998</v>
      </c>
      <c r="F10" s="105">
        <v>2837130.741926</v>
      </c>
    </row>
    <row r="11" spans="2:6">
      <c r="B11" s="75"/>
    </row>
    <row r="12" spans="2:6">
      <c r="B12" s="75"/>
    </row>
    <row r="13" spans="2:6">
      <c r="B13" s="90" t="s">
        <v>123</v>
      </c>
      <c r="C13" s="124">
        <v>5285973.0389999999</v>
      </c>
      <c r="D13" s="124">
        <f>+D15+D16+D17+D18+D19</f>
        <v>4570950.6922599999</v>
      </c>
      <c r="E13" s="124">
        <v>10746906.252999999</v>
      </c>
      <c r="F13" s="124">
        <v>9073087.7882599998</v>
      </c>
    </row>
    <row r="14" spans="2:6">
      <c r="B14" s="76" t="s">
        <v>121</v>
      </c>
    </row>
    <row r="15" spans="2:6">
      <c r="B15" s="92" t="s">
        <v>37</v>
      </c>
      <c r="C15" s="105">
        <v>3074242.58</v>
      </c>
      <c r="D15" s="105">
        <v>2580255.56</v>
      </c>
      <c r="E15" s="105">
        <v>6213590.5099999998</v>
      </c>
      <c r="F15" s="105">
        <v>5105573.5830000006</v>
      </c>
    </row>
    <row r="16" spans="2:6">
      <c r="B16" s="92" t="s">
        <v>40</v>
      </c>
      <c r="C16" s="105">
        <v>1146542.4450000001</v>
      </c>
      <c r="D16" s="105">
        <v>960609.00699999998</v>
      </c>
      <c r="E16" s="105">
        <v>2432679.0789999999</v>
      </c>
      <c r="F16" s="105">
        <v>1862670.176</v>
      </c>
    </row>
    <row r="17" spans="2:6">
      <c r="B17" s="92" t="s">
        <v>42</v>
      </c>
      <c r="C17" s="105">
        <v>712507.70400000003</v>
      </c>
      <c r="D17" s="105">
        <v>660244.94025999994</v>
      </c>
      <c r="E17" s="105">
        <v>1472373.1340000001</v>
      </c>
      <c r="F17" s="105">
        <v>1358516.14426</v>
      </c>
    </row>
    <row r="18" spans="2:6">
      <c r="B18" s="92" t="s">
        <v>45</v>
      </c>
      <c r="C18" s="105">
        <v>352680.31</v>
      </c>
      <c r="D18" s="105">
        <v>262507.19</v>
      </c>
      <c r="E18" s="105">
        <v>628263.53</v>
      </c>
      <c r="F18" s="105">
        <v>541667.89</v>
      </c>
    </row>
    <row r="19" spans="2:6">
      <c r="B19" s="92" t="s">
        <v>57</v>
      </c>
      <c r="C19" s="105"/>
      <c r="D19" s="105">
        <v>107333.995</v>
      </c>
      <c r="E19" s="105">
        <v>0</v>
      </c>
      <c r="F19" s="105">
        <v>204659.995</v>
      </c>
    </row>
    <row r="24" spans="2:6" s="1" customFormat="1">
      <c r="B24" s="73" t="s">
        <v>125</v>
      </c>
      <c r="C24" s="82" t="s">
        <v>161</v>
      </c>
      <c r="D24" s="203" t="s">
        <v>254</v>
      </c>
      <c r="E24" s="203" t="s">
        <v>257</v>
      </c>
      <c r="F24" s="203" t="s">
        <v>258</v>
      </c>
    </row>
    <row r="25" spans="2:6">
      <c r="B25" s="74"/>
    </row>
    <row r="26" spans="2:6">
      <c r="B26" s="65" t="s">
        <v>120</v>
      </c>
      <c r="C26" s="66">
        <f>+C28+C29+C30+C31+C32</f>
        <v>428701</v>
      </c>
      <c r="D26" s="66">
        <f t="shared" ref="D26" si="0">+D28+D29+D30+D31+D32</f>
        <v>385843</v>
      </c>
      <c r="E26" s="66">
        <v>882264.8</v>
      </c>
      <c r="F26" s="66">
        <v>784964</v>
      </c>
    </row>
    <row r="27" spans="2:6">
      <c r="B27" s="76"/>
    </row>
    <row r="28" spans="2:6">
      <c r="B28" s="91" t="s">
        <v>34</v>
      </c>
      <c r="C28" s="105">
        <v>61721</v>
      </c>
      <c r="D28" s="195">
        <v>54058</v>
      </c>
      <c r="E28" s="195">
        <v>125325</v>
      </c>
      <c r="F28" s="195">
        <v>108715</v>
      </c>
    </row>
    <row r="29" spans="2:6">
      <c r="B29" s="91" t="s">
        <v>122</v>
      </c>
      <c r="C29" s="105">
        <v>212804</v>
      </c>
      <c r="D29" s="195">
        <v>190147</v>
      </c>
      <c r="E29" s="195">
        <v>451626</v>
      </c>
      <c r="F29" s="195">
        <v>392896</v>
      </c>
    </row>
    <row r="30" spans="2:6">
      <c r="B30" s="91" t="s">
        <v>60</v>
      </c>
      <c r="C30" s="105">
        <v>67587</v>
      </c>
      <c r="D30" s="34">
        <v>57720</v>
      </c>
      <c r="E30" s="34">
        <v>137262.79999999999</v>
      </c>
      <c r="F30" s="34">
        <v>122170</v>
      </c>
    </row>
    <row r="31" spans="2:6">
      <c r="B31" s="91" t="s">
        <v>52</v>
      </c>
      <c r="C31" s="105">
        <v>12035</v>
      </c>
      <c r="D31" s="34">
        <v>10692</v>
      </c>
      <c r="E31" s="34">
        <v>22277</v>
      </c>
      <c r="F31" s="34">
        <v>21110</v>
      </c>
    </row>
    <row r="32" spans="2:6">
      <c r="B32" s="91" t="s">
        <v>142</v>
      </c>
      <c r="C32" s="105">
        <v>74554</v>
      </c>
      <c r="D32" s="34">
        <v>73226</v>
      </c>
      <c r="E32" s="34">
        <v>145774</v>
      </c>
      <c r="F32" s="34">
        <v>140073</v>
      </c>
    </row>
    <row r="33" spans="2:6">
      <c r="B33" s="75"/>
    </row>
    <row r="34" spans="2:6">
      <c r="B34" s="75"/>
      <c r="C34" s="125"/>
    </row>
    <row r="35" spans="2:6">
      <c r="B35" s="90" t="s">
        <v>123</v>
      </c>
      <c r="C35" s="103">
        <f>+C37+C38+C39</f>
        <v>447072</v>
      </c>
      <c r="D35" s="103">
        <f t="shared" ref="D35" si="1">+D37+D38+D39</f>
        <v>365534</v>
      </c>
      <c r="E35" s="103">
        <v>917709</v>
      </c>
      <c r="F35" s="103">
        <v>727913</v>
      </c>
    </row>
    <row r="36" spans="2:6">
      <c r="B36" s="76" t="s">
        <v>121</v>
      </c>
    </row>
    <row r="37" spans="2:6">
      <c r="B37" s="92" t="s">
        <v>37</v>
      </c>
      <c r="C37" s="105">
        <v>319003</v>
      </c>
      <c r="D37" s="195">
        <v>266264</v>
      </c>
      <c r="E37" s="195">
        <v>655633</v>
      </c>
      <c r="F37" s="195">
        <v>543011</v>
      </c>
    </row>
    <row r="38" spans="2:6">
      <c r="B38" s="92" t="s">
        <v>40</v>
      </c>
      <c r="C38" s="105">
        <v>108109</v>
      </c>
      <c r="D38" s="195">
        <v>81054</v>
      </c>
      <c r="E38" s="195">
        <v>219380</v>
      </c>
      <c r="F38" s="195">
        <v>146498</v>
      </c>
    </row>
    <row r="39" spans="2:6">
      <c r="B39" s="92" t="s">
        <v>42</v>
      </c>
      <c r="C39" s="105">
        <v>19960</v>
      </c>
      <c r="D39" s="195">
        <v>18216</v>
      </c>
      <c r="E39" s="195">
        <v>42696</v>
      </c>
      <c r="F39" s="195">
        <v>38404</v>
      </c>
    </row>
    <row r="40" spans="2:6">
      <c r="B40" s="92" t="s">
        <v>45</v>
      </c>
      <c r="C40" s="105"/>
    </row>
    <row r="41" spans="2:6">
      <c r="B41" s="92" t="s">
        <v>57</v>
      </c>
      <c r="C41" s="105"/>
    </row>
    <row r="42" spans="2:6">
      <c r="B42" s="78"/>
    </row>
    <row r="43" spans="2:6">
      <c r="B43" s="77" t="s">
        <v>124</v>
      </c>
    </row>
    <row r="44" spans="2:6">
      <c r="B44" s="77" t="s">
        <v>156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F9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I7" sqref="I7"/>
    </sheetView>
  </sheetViews>
  <sheetFormatPr baseColWidth="10" defaultRowHeight="15"/>
  <cols>
    <col min="1" max="1" width="5.7109375" customWidth="1"/>
    <col min="2" max="2" width="42.140625" style="29" customWidth="1"/>
  </cols>
  <sheetData>
    <row r="1" spans="2:6" ht="18.95" customHeight="1">
      <c r="B1" s="30" t="s">
        <v>2</v>
      </c>
    </row>
    <row r="2" spans="2:6" s="46" customFormat="1">
      <c r="B2" s="79"/>
    </row>
    <row r="3" spans="2:6" s="46" customFormat="1">
      <c r="B3" s="28"/>
      <c r="C3" s="82" t="s">
        <v>161</v>
      </c>
      <c r="D3" s="82" t="s">
        <v>254</v>
      </c>
      <c r="E3" s="203" t="s">
        <v>257</v>
      </c>
      <c r="F3" s="203" t="s">
        <v>258</v>
      </c>
    </row>
    <row r="4" spans="2:6" s="46" customFormat="1">
      <c r="B4" s="65" t="s">
        <v>126</v>
      </c>
      <c r="C4" s="65"/>
      <c r="D4" s="65"/>
      <c r="E4" s="65"/>
      <c r="F4" s="65"/>
    </row>
    <row r="5" spans="2:6">
      <c r="B5" s="76" t="s">
        <v>127</v>
      </c>
      <c r="C5" s="93">
        <v>492295</v>
      </c>
      <c r="D5" s="93">
        <v>534564</v>
      </c>
      <c r="E5" s="93">
        <v>1057246</v>
      </c>
      <c r="F5" s="93">
        <v>1168037</v>
      </c>
    </row>
    <row r="6" spans="2:6">
      <c r="B6" s="76" t="s">
        <v>128</v>
      </c>
      <c r="C6" s="93">
        <v>136221</v>
      </c>
      <c r="D6" s="93">
        <v>132152</v>
      </c>
      <c r="E6" s="93">
        <v>274694</v>
      </c>
      <c r="F6" s="93">
        <v>260203</v>
      </c>
    </row>
    <row r="7" spans="2:6">
      <c r="B7" s="76" t="s">
        <v>129</v>
      </c>
      <c r="C7" s="93">
        <v>8542</v>
      </c>
      <c r="D7" s="93">
        <v>8266</v>
      </c>
      <c r="E7" s="93">
        <v>18107</v>
      </c>
      <c r="F7" s="93">
        <v>16992</v>
      </c>
    </row>
    <row r="8" spans="2:6" s="46" customFormat="1">
      <c r="B8" s="31"/>
    </row>
    <row r="9" spans="2:6">
      <c r="B9" s="6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8" sqref="I8"/>
    </sheetView>
  </sheetViews>
  <sheetFormatPr baseColWidth="10" defaultRowHeight="15"/>
  <cols>
    <col min="1" max="1" width="5.7109375" customWidth="1"/>
    <col min="2" max="2" width="38.7109375" style="29" customWidth="1"/>
  </cols>
  <sheetData>
    <row r="2" spans="1:5">
      <c r="B2" s="30" t="s">
        <v>2</v>
      </c>
    </row>
    <row r="4" spans="1:5" ht="38.1" customHeight="1">
      <c r="A4" s="35"/>
      <c r="B4" s="36" t="s">
        <v>130</v>
      </c>
      <c r="C4" s="113">
        <v>43800</v>
      </c>
      <c r="D4" s="113">
        <v>43891</v>
      </c>
      <c r="E4" s="113">
        <v>43983</v>
      </c>
    </row>
    <row r="5" spans="1:5" s="48" customFormat="1">
      <c r="B5" s="49"/>
    </row>
    <row r="6" spans="1:5" s="48" customFormat="1">
      <c r="B6" s="49"/>
    </row>
    <row r="7" spans="1:5" s="48" customFormat="1">
      <c r="B7" s="80" t="s">
        <v>131</v>
      </c>
    </row>
    <row r="8" spans="1:5">
      <c r="B8" s="94" t="s">
        <v>132</v>
      </c>
      <c r="C8" s="56">
        <v>536976</v>
      </c>
      <c r="D8" s="56">
        <v>523210</v>
      </c>
      <c r="E8" s="56">
        <v>558009</v>
      </c>
    </row>
    <row r="9" spans="1:5">
      <c r="B9" s="94" t="s">
        <v>101</v>
      </c>
      <c r="C9" s="56">
        <v>43778</v>
      </c>
      <c r="D9" s="56">
        <v>37500</v>
      </c>
      <c r="E9" s="56">
        <v>41463.485000000001</v>
      </c>
    </row>
    <row r="10" spans="1:5">
      <c r="B10" s="94" t="s">
        <v>133</v>
      </c>
      <c r="C10" s="56">
        <v>229572</v>
      </c>
      <c r="D10" s="56">
        <v>215553</v>
      </c>
      <c r="E10" s="56">
        <v>245534</v>
      </c>
    </row>
    <row r="11" spans="1:5">
      <c r="B11" s="28"/>
    </row>
    <row r="12" spans="1:5">
      <c r="B12" s="72" t="s">
        <v>134</v>
      </c>
    </row>
    <row r="13" spans="1:5">
      <c r="B13" s="94" t="s">
        <v>135</v>
      </c>
      <c r="C13" s="56">
        <v>105110.08129479909</v>
      </c>
      <c r="D13" s="56">
        <v>107040</v>
      </c>
      <c r="E13" s="56">
        <v>110803</v>
      </c>
    </row>
    <row r="14" spans="1:5">
      <c r="B14" s="94" t="s">
        <v>101</v>
      </c>
      <c r="C14" s="56">
        <v>34767.812343537473</v>
      </c>
      <c r="D14" s="56">
        <v>35869</v>
      </c>
      <c r="E14" s="56">
        <v>35001</v>
      </c>
    </row>
    <row r="15" spans="1:5">
      <c r="B15" s="94" t="s">
        <v>136</v>
      </c>
      <c r="C15" s="81">
        <v>17682.854826625491</v>
      </c>
      <c r="D15" s="81">
        <v>19364</v>
      </c>
      <c r="E15" s="81">
        <v>23415</v>
      </c>
    </row>
    <row r="17" spans="2:2">
      <c r="B17" s="77" t="s">
        <v>137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81"/>
  <sheetViews>
    <sheetView showGridLines="0" topLeftCell="A2" zoomScale="110" zoomScaleNormal="110" workbookViewId="0">
      <selection activeCell="E36" sqref="E36"/>
    </sheetView>
  </sheetViews>
  <sheetFormatPr baseColWidth="10" defaultColWidth="10.7109375" defaultRowHeight="15"/>
  <cols>
    <col min="1" max="1" width="19.42578125" customWidth="1"/>
    <col min="2" max="2" width="47.140625" customWidth="1"/>
    <col min="3" max="3" width="19.42578125" customWidth="1"/>
    <col min="4" max="6" width="12.7109375" bestFit="1" customWidth="1"/>
    <col min="7" max="7" width="14.28515625" customWidth="1"/>
    <col min="8" max="8" width="14" customWidth="1"/>
    <col min="9" max="9" width="14" style="54" customWidth="1"/>
    <col min="10" max="10" width="15.42578125" style="54" customWidth="1"/>
    <col min="11" max="11" width="15.42578125" customWidth="1"/>
    <col min="12" max="12" width="47.28515625" bestFit="1" customWidth="1"/>
  </cols>
  <sheetData>
    <row r="2" spans="1:27" ht="27.95" customHeight="1">
      <c r="A2" s="132"/>
      <c r="B2" s="206" t="s">
        <v>166</v>
      </c>
      <c r="C2" s="206"/>
      <c r="D2" s="206"/>
      <c r="E2" s="206"/>
      <c r="F2" s="206"/>
      <c r="G2" s="206"/>
      <c r="H2" s="206"/>
      <c r="I2" s="161"/>
      <c r="J2" s="163"/>
      <c r="K2" s="133"/>
      <c r="L2" s="134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>
      <c r="A3" s="132"/>
      <c r="B3" s="132"/>
      <c r="C3" s="132"/>
      <c r="D3" s="132"/>
      <c r="E3" s="132"/>
      <c r="F3" s="132"/>
      <c r="G3" s="132"/>
      <c r="H3" s="132"/>
      <c r="I3" s="172">
        <v>43921</v>
      </c>
      <c r="J3" s="163"/>
      <c r="K3" s="133"/>
      <c r="L3" s="135"/>
      <c r="M3" s="135"/>
      <c r="N3" s="135"/>
      <c r="O3" s="135"/>
      <c r="P3" s="135"/>
      <c r="Q3" s="135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75">
      <c r="A4" s="132"/>
      <c r="B4" s="136" t="s">
        <v>167</v>
      </c>
      <c r="C4" s="136"/>
      <c r="D4" s="136">
        <v>2015</v>
      </c>
      <c r="E4" s="136">
        <v>2016</v>
      </c>
      <c r="F4" s="136">
        <v>2017</v>
      </c>
      <c r="G4" s="136">
        <v>2018</v>
      </c>
      <c r="H4" s="136">
        <v>2019</v>
      </c>
      <c r="I4" s="136" t="s">
        <v>209</v>
      </c>
      <c r="J4" s="163"/>
      <c r="K4" s="133"/>
      <c r="L4" s="134" t="s">
        <v>168</v>
      </c>
      <c r="M4" s="136">
        <v>2015</v>
      </c>
      <c r="N4" s="136">
        <v>2016</v>
      </c>
      <c r="O4" s="136">
        <v>2017</v>
      </c>
      <c r="P4" s="136">
        <v>2018</v>
      </c>
      <c r="Q4" s="136">
        <v>2019</v>
      </c>
      <c r="R4" s="132" t="s">
        <v>245</v>
      </c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8.25" customHeight="1">
      <c r="A5" s="132"/>
      <c r="B5" s="137"/>
      <c r="C5" s="138"/>
      <c r="D5" s="138"/>
      <c r="E5" s="138"/>
      <c r="F5" s="138"/>
      <c r="G5" s="138"/>
      <c r="H5" s="138"/>
      <c r="I5" s="138"/>
      <c r="J5" s="163"/>
      <c r="K5" s="133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>
      <c r="A6" s="132"/>
      <c r="B6" s="139" t="s">
        <v>169</v>
      </c>
      <c r="C6" s="139" t="s">
        <v>170</v>
      </c>
      <c r="D6" s="140">
        <v>426.27300000000002</v>
      </c>
      <c r="E6" s="140">
        <v>393.93200000000002</v>
      </c>
      <c r="F6" s="140">
        <v>467.82600000000002</v>
      </c>
      <c r="G6" s="140">
        <v>515.9</v>
      </c>
      <c r="H6" s="140">
        <v>529.79999999999995</v>
      </c>
      <c r="I6" s="140" t="e">
        <f>+I69</f>
        <v>#REF!</v>
      </c>
      <c r="J6" s="166"/>
      <c r="K6" s="142"/>
      <c r="L6" s="132" t="s">
        <v>171</v>
      </c>
      <c r="M6" s="150">
        <f t="shared" ref="M6:R6" si="0">+D8</f>
        <v>91.76</v>
      </c>
      <c r="N6" s="150">
        <f t="shared" si="0"/>
        <v>91.379000000000005</v>
      </c>
      <c r="O6" s="150">
        <f t="shared" si="0"/>
        <v>116.712</v>
      </c>
      <c r="P6" s="150">
        <f t="shared" si="0"/>
        <v>145.94</v>
      </c>
      <c r="Q6" s="150">
        <f t="shared" si="0"/>
        <v>176.95</v>
      </c>
      <c r="R6" s="150" t="e">
        <f t="shared" si="0"/>
        <v>#REF!</v>
      </c>
      <c r="S6" s="193" t="e">
        <f>+(R6-M6)/M6</f>
        <v>#REF!</v>
      </c>
      <c r="T6" s="132"/>
      <c r="U6" s="132"/>
      <c r="V6" s="132"/>
      <c r="W6" s="132"/>
      <c r="X6" s="132"/>
      <c r="Y6" s="132"/>
      <c r="Z6" s="132"/>
      <c r="AA6" s="132"/>
    </row>
    <row r="7" spans="1:27" s="132" customFormat="1">
      <c r="B7" s="139" t="s">
        <v>116</v>
      </c>
      <c r="C7" s="139" t="s">
        <v>170</v>
      </c>
      <c r="D7" s="140">
        <v>41.058999999999997</v>
      </c>
      <c r="E7" s="140">
        <v>40.792999999999999</v>
      </c>
      <c r="F7" s="140">
        <v>47.98</v>
      </c>
      <c r="G7" s="140">
        <v>74.733999999999995</v>
      </c>
      <c r="H7" s="140">
        <v>96.2</v>
      </c>
      <c r="I7" s="145" t="e">
        <f>(+#REF!+'Terminales Portuarios'!H20+Log!F5+[1]Presentacion!$K$14)/1000</f>
        <v>#REF!</v>
      </c>
      <c r="J7" s="166"/>
      <c r="K7" s="142"/>
      <c r="L7" s="132" t="s">
        <v>172</v>
      </c>
      <c r="M7" s="193">
        <f t="shared" ref="M7:R7" si="1">+D13</f>
        <v>0.21526111201037831</v>
      </c>
      <c r="N7" s="193">
        <f t="shared" si="1"/>
        <v>0.23196643075454648</v>
      </c>
      <c r="O7" s="193">
        <f t="shared" si="1"/>
        <v>0.24947736979133267</v>
      </c>
      <c r="P7" s="193">
        <f t="shared" si="1"/>
        <v>0.28288427989920528</v>
      </c>
      <c r="Q7" s="193">
        <f t="shared" si="1"/>
        <v>0.33399395998489995</v>
      </c>
      <c r="R7" s="193" t="e">
        <f t="shared" si="1"/>
        <v>#REF!</v>
      </c>
    </row>
    <row r="8" spans="1:27">
      <c r="A8" s="132"/>
      <c r="B8" s="139" t="s">
        <v>173</v>
      </c>
      <c r="C8" s="139" t="s">
        <v>170</v>
      </c>
      <c r="D8" s="140">
        <v>91.76</v>
      </c>
      <c r="E8" s="140">
        <v>91.379000000000005</v>
      </c>
      <c r="F8" s="140">
        <v>116.712</v>
      </c>
      <c r="G8" s="140">
        <v>145.94</v>
      </c>
      <c r="H8" s="140">
        <v>176.95</v>
      </c>
      <c r="I8" s="140" t="e">
        <f>+(#REF!+'Terminales Portuarios'!H21+Log!F6+'distribucion ingresos Ebitda'!C15)/1000</f>
        <v>#REF!</v>
      </c>
      <c r="J8" s="166"/>
      <c r="K8" s="14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7" s="132" customFormat="1">
      <c r="B9" s="139" t="s">
        <v>174</v>
      </c>
      <c r="C9" s="139" t="s">
        <v>170</v>
      </c>
      <c r="D9" s="140">
        <v>68.936000000000007</v>
      </c>
      <c r="E9" s="140">
        <v>54.521999999999998</v>
      </c>
      <c r="F9" s="140">
        <v>59.325000000000003</v>
      </c>
      <c r="G9" s="140">
        <v>49.606999999999999</v>
      </c>
      <c r="H9" s="174">
        <v>57.8</v>
      </c>
      <c r="I9" s="174">
        <v>57.811793271953448</v>
      </c>
      <c r="J9" s="166"/>
      <c r="K9" s="142"/>
    </row>
    <row r="10" spans="1:27">
      <c r="A10" s="132"/>
      <c r="B10" s="139" t="s">
        <v>139</v>
      </c>
      <c r="C10" s="139" t="s">
        <v>170</v>
      </c>
      <c r="D10" s="140">
        <v>11.074</v>
      </c>
      <c r="E10" s="140">
        <v>8.8309999999999995</v>
      </c>
      <c r="F10" s="140">
        <v>8.5299999999999994</v>
      </c>
      <c r="G10" s="140">
        <v>12.183999999999999</v>
      </c>
      <c r="H10" s="140">
        <v>12.167999999999999</v>
      </c>
      <c r="I10" s="140">
        <v>10.132333513917402</v>
      </c>
      <c r="J10" s="166"/>
      <c r="K10" s="14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7">
      <c r="A11" s="132"/>
      <c r="B11" s="146" t="s">
        <v>175</v>
      </c>
      <c r="C11" s="132"/>
      <c r="D11" s="132"/>
      <c r="E11" s="132"/>
      <c r="F11" s="132"/>
      <c r="G11" s="132"/>
      <c r="H11" s="132"/>
      <c r="I11" s="132"/>
      <c r="J11" s="166"/>
      <c r="K11" s="133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7" s="132" customFormat="1" ht="15.75" thickBot="1">
      <c r="B12" s="139" t="s">
        <v>176</v>
      </c>
      <c r="C12" s="139" t="s">
        <v>177</v>
      </c>
      <c r="D12" s="171">
        <f>+D7/D6</f>
        <v>9.6320902332542743E-2</v>
      </c>
      <c r="E12" s="171">
        <f t="shared" ref="E12:G12" si="2">+E7/E6</f>
        <v>0.10355340515621984</v>
      </c>
      <c r="F12" s="171">
        <f t="shared" si="2"/>
        <v>0.10255949861700717</v>
      </c>
      <c r="G12" s="171">
        <f t="shared" si="2"/>
        <v>0.14486140724946694</v>
      </c>
      <c r="H12" s="171">
        <f>+H7/H6</f>
        <v>0.18157795394488488</v>
      </c>
      <c r="I12" s="171" t="e">
        <f>+I7/I6</f>
        <v>#REF!</v>
      </c>
      <c r="J12" s="166"/>
      <c r="K12" s="133"/>
    </row>
    <row r="13" spans="1:27" s="132" customFormat="1" ht="15.75" thickBot="1">
      <c r="B13" s="139" t="s">
        <v>178</v>
      </c>
      <c r="C13" s="139" t="s">
        <v>177</v>
      </c>
      <c r="D13" s="171">
        <f>+D8/D6</f>
        <v>0.21526111201037831</v>
      </c>
      <c r="E13" s="171">
        <f t="shared" ref="E13:G13" si="3">+E8/E6</f>
        <v>0.23196643075454648</v>
      </c>
      <c r="F13" s="171">
        <f t="shared" si="3"/>
        <v>0.24947736979133267</v>
      </c>
      <c r="G13" s="171">
        <f t="shared" si="3"/>
        <v>0.28288427989920528</v>
      </c>
      <c r="H13" s="171">
        <f>+H8/H6</f>
        <v>0.33399395998489995</v>
      </c>
      <c r="I13" s="171" t="e">
        <f>+I8/I6</f>
        <v>#REF!</v>
      </c>
      <c r="J13" s="166"/>
      <c r="K13" s="133"/>
    </row>
    <row r="14" spans="1:27">
      <c r="A14" s="132"/>
      <c r="B14" s="147" t="s">
        <v>179</v>
      </c>
      <c r="C14" s="139"/>
      <c r="D14" s="140"/>
      <c r="E14" s="140"/>
      <c r="F14" s="140"/>
      <c r="G14" s="140"/>
      <c r="H14" s="148"/>
      <c r="I14" s="148"/>
      <c r="J14" s="166"/>
      <c r="K14" s="133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7">
      <c r="A15" s="132"/>
      <c r="B15" s="139" t="s">
        <v>180</v>
      </c>
      <c r="C15" s="139" t="s">
        <v>170</v>
      </c>
      <c r="D15" s="140">
        <v>1220.8019999999999</v>
      </c>
      <c r="E15" s="140">
        <v>1267.479</v>
      </c>
      <c r="F15" s="140">
        <v>1488.1279999999999</v>
      </c>
      <c r="G15" s="140">
        <v>1425.2370000000001</v>
      </c>
      <c r="H15" s="140">
        <v>1617.989</v>
      </c>
      <c r="I15" s="140">
        <v>1577.08</v>
      </c>
      <c r="J15" s="166"/>
      <c r="K15" s="133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>
      <c r="A16" s="132"/>
      <c r="B16" s="139" t="s">
        <v>181</v>
      </c>
      <c r="C16" s="139" t="s">
        <v>170</v>
      </c>
      <c r="D16" s="140">
        <v>578.1</v>
      </c>
      <c r="E16" s="140">
        <v>574.70000000000005</v>
      </c>
      <c r="F16" s="140">
        <v>736.1</v>
      </c>
      <c r="G16" s="140">
        <f>+(484299+226832)/1000</f>
        <v>711.13099999999997</v>
      </c>
      <c r="H16" s="174">
        <f>(737018+226646)/1000</f>
        <v>963.66399999999999</v>
      </c>
      <c r="I16" s="174">
        <v>0</v>
      </c>
      <c r="J16" s="166"/>
      <c r="K16" s="133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>
        <v>2015</v>
      </c>
      <c r="X16" s="132">
        <v>2016</v>
      </c>
      <c r="Y16" s="132">
        <v>2017</v>
      </c>
      <c r="Z16" s="132">
        <v>2018</v>
      </c>
      <c r="AA16" s="132">
        <v>2019</v>
      </c>
    </row>
    <row r="17" spans="1:26">
      <c r="A17" s="132"/>
      <c r="B17" s="139" t="s">
        <v>182</v>
      </c>
      <c r="C17" s="139" t="s">
        <v>170</v>
      </c>
      <c r="D17" s="140">
        <v>211.80099999999999</v>
      </c>
      <c r="E17" s="140">
        <v>240.99100000000001</v>
      </c>
      <c r="F17" s="140">
        <v>327.97</v>
      </c>
      <c r="G17" s="140">
        <v>290.57299999999998</v>
      </c>
      <c r="H17" s="175">
        <v>536.976</v>
      </c>
      <c r="I17" s="175">
        <v>0.52321000000000006</v>
      </c>
      <c r="J17" s="166"/>
      <c r="K17" s="133"/>
      <c r="L17" s="132"/>
      <c r="M17" s="132"/>
      <c r="N17" s="132"/>
      <c r="O17" s="132"/>
      <c r="P17" s="132"/>
      <c r="Q17" s="132"/>
      <c r="R17" s="132"/>
      <c r="S17" s="132"/>
      <c r="T17" s="132"/>
      <c r="U17" s="132" t="s">
        <v>183</v>
      </c>
      <c r="V17" s="132"/>
      <c r="W17" s="132"/>
      <c r="X17" s="132"/>
      <c r="Y17" s="132"/>
      <c r="Z17" s="132"/>
    </row>
    <row r="18" spans="1:26">
      <c r="A18" s="132"/>
      <c r="B18" s="139" t="s">
        <v>184</v>
      </c>
      <c r="C18" s="139" t="s">
        <v>170</v>
      </c>
      <c r="D18" s="140">
        <v>717.23900000000003</v>
      </c>
      <c r="E18" s="140">
        <v>748.20799999999997</v>
      </c>
      <c r="F18" s="140">
        <v>762.32799999999997</v>
      </c>
      <c r="G18" s="140">
        <v>772.40599999999995</v>
      </c>
      <c r="H18" s="175">
        <v>786.64099999999996</v>
      </c>
      <c r="I18" s="175">
        <v>773.73099999999999</v>
      </c>
      <c r="J18" s="166"/>
      <c r="K18" s="133"/>
      <c r="L18" s="132"/>
      <c r="M18" s="132"/>
      <c r="N18" s="132"/>
      <c r="O18" s="132"/>
      <c r="P18" s="132"/>
      <c r="Q18" s="132"/>
      <c r="R18" s="132"/>
      <c r="S18" s="132"/>
      <c r="T18" s="132"/>
      <c r="U18" s="132" t="s">
        <v>185</v>
      </c>
      <c r="V18" s="132"/>
      <c r="W18" s="149">
        <v>476735</v>
      </c>
      <c r="X18" s="149">
        <v>478205</v>
      </c>
      <c r="Y18" s="149">
        <v>490125</v>
      </c>
      <c r="Z18" s="149">
        <v>484299</v>
      </c>
    </row>
    <row r="19" spans="1:26">
      <c r="A19" s="132"/>
      <c r="B19" s="139"/>
      <c r="C19" s="139"/>
      <c r="D19" s="139"/>
      <c r="E19" s="139"/>
      <c r="F19" s="139"/>
      <c r="G19" s="139"/>
      <c r="H19" s="139"/>
      <c r="I19" s="139"/>
      <c r="J19" s="163"/>
      <c r="K19" s="133"/>
      <c r="L19" s="132"/>
      <c r="M19" s="132"/>
      <c r="N19" s="132"/>
      <c r="O19" s="132"/>
      <c r="P19" s="132"/>
      <c r="Q19" s="132"/>
      <c r="R19" s="132"/>
      <c r="S19" s="132"/>
      <c r="T19" s="132"/>
      <c r="U19" s="150" t="s">
        <v>186</v>
      </c>
      <c r="V19" s="132"/>
      <c r="W19" s="150">
        <v>101354</v>
      </c>
      <c r="X19" s="150">
        <v>96513</v>
      </c>
      <c r="Y19" s="150">
        <v>246048</v>
      </c>
      <c r="Z19" s="150">
        <v>226832</v>
      </c>
    </row>
    <row r="20" spans="1:26" s="132" customFormat="1" ht="12.75">
      <c r="B20" s="139" t="s">
        <v>187</v>
      </c>
      <c r="C20" s="139" t="s">
        <v>170</v>
      </c>
      <c r="D20" s="151">
        <f>+((D21*D22)/D23)/1000000</f>
        <v>617.37653806875051</v>
      </c>
      <c r="E20" s="151">
        <f>+((E21*E22)/E23)/1000000</f>
        <v>753.06963125871812</v>
      </c>
      <c r="F20" s="151">
        <f>+((F21*F22)/F23)/1000000</f>
        <v>1045.3416834256852</v>
      </c>
      <c r="G20" s="151">
        <f>+((G21*G22)/G23)/1000000</f>
        <v>837.9331829151057</v>
      </c>
      <c r="H20" s="151">
        <f>+((H21*H22)/H23)/1000000</f>
        <v>772.54125642024121</v>
      </c>
      <c r="I20" s="151">
        <v>559.97982061854464</v>
      </c>
      <c r="J20" s="163"/>
      <c r="K20" s="133"/>
      <c r="U20" s="150"/>
      <c r="W20" s="150">
        <f>SUM(W18:W19)</f>
        <v>578089</v>
      </c>
      <c r="X20" s="150">
        <f>SUM(X18:X19)</f>
        <v>574718</v>
      </c>
      <c r="Y20" s="150">
        <f>SUM(Y18:Y19)</f>
        <v>736173</v>
      </c>
      <c r="Z20" s="150">
        <f>SUM(Z18:Z19)</f>
        <v>711131</v>
      </c>
    </row>
    <row r="21" spans="1:26" s="132" customFormat="1" ht="12.75">
      <c r="B21" s="139" t="s">
        <v>188</v>
      </c>
      <c r="C21" s="139"/>
      <c r="D21" s="151">
        <v>9736791983</v>
      </c>
      <c r="E21" s="151">
        <v>9736791983</v>
      </c>
      <c r="F21" s="151">
        <v>9736791983</v>
      </c>
      <c r="G21" s="151">
        <v>9736791983</v>
      </c>
      <c r="H21" s="151">
        <v>9736791983</v>
      </c>
      <c r="I21" s="151">
        <v>9736791983</v>
      </c>
      <c r="J21" s="163"/>
      <c r="K21" s="133"/>
    </row>
    <row r="22" spans="1:26" s="132" customFormat="1" ht="12.75">
      <c r="B22" s="139" t="s">
        <v>189</v>
      </c>
      <c r="C22" s="139" t="s">
        <v>190</v>
      </c>
      <c r="D22" s="152">
        <v>44.85</v>
      </c>
      <c r="E22" s="152">
        <v>51.61</v>
      </c>
      <c r="F22" s="152">
        <v>66.05</v>
      </c>
      <c r="G22" s="152">
        <v>59.87</v>
      </c>
      <c r="H22" s="152">
        <v>59.08</v>
      </c>
      <c r="I22" s="152">
        <v>49</v>
      </c>
      <c r="J22" s="163"/>
      <c r="K22" s="133"/>
    </row>
    <row r="23" spans="1:26">
      <c r="A23" s="132"/>
      <c r="B23" s="139" t="s">
        <v>191</v>
      </c>
      <c r="C23" s="139" t="s">
        <v>190</v>
      </c>
      <c r="D23" s="139">
        <v>707.34</v>
      </c>
      <c r="E23" s="139">
        <v>667.29</v>
      </c>
      <c r="F23" s="139">
        <v>615.22</v>
      </c>
      <c r="G23" s="139">
        <v>695.69</v>
      </c>
      <c r="H23" s="139">
        <v>744.62</v>
      </c>
      <c r="I23" s="139">
        <v>852</v>
      </c>
      <c r="J23" s="163"/>
      <c r="K23" s="133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 ht="15.75" hidden="1">
      <c r="A24" s="132"/>
      <c r="B24" s="207" t="s">
        <v>192</v>
      </c>
      <c r="C24" s="207"/>
      <c r="D24" s="207"/>
      <c r="E24" s="207"/>
      <c r="F24" s="207"/>
      <c r="G24" s="207"/>
      <c r="H24" s="207"/>
      <c r="I24" s="167"/>
      <c r="J24" s="163"/>
      <c r="K24" s="133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 hidden="1">
      <c r="A25" s="132"/>
      <c r="B25" s="139" t="s">
        <v>193</v>
      </c>
      <c r="C25" s="139"/>
      <c r="D25" s="139">
        <v>15</v>
      </c>
      <c r="E25" s="139">
        <v>15</v>
      </c>
      <c r="F25" s="139">
        <v>13</v>
      </c>
      <c r="G25" s="139">
        <v>13</v>
      </c>
      <c r="H25" s="139">
        <v>12</v>
      </c>
      <c r="I25" s="162"/>
      <c r="J25" s="163"/>
      <c r="K25" s="133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idden="1">
      <c r="A26" s="132"/>
      <c r="B26" s="139" t="s">
        <v>194</v>
      </c>
      <c r="C26" s="139"/>
      <c r="D26" s="139">
        <v>11</v>
      </c>
      <c r="E26" s="139">
        <v>11</v>
      </c>
      <c r="F26" s="139">
        <v>11</v>
      </c>
      <c r="G26" s="139">
        <v>10</v>
      </c>
      <c r="H26" s="139">
        <v>10</v>
      </c>
      <c r="I26" s="162"/>
      <c r="J26" s="163"/>
      <c r="K26" s="133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 hidden="1">
      <c r="A27" s="132"/>
      <c r="B27" s="139" t="s">
        <v>195</v>
      </c>
      <c r="C27" s="139"/>
      <c r="D27" s="139">
        <v>188</v>
      </c>
      <c r="E27" s="139">
        <v>177</v>
      </c>
      <c r="F27" s="139">
        <v>161</v>
      </c>
      <c r="G27" s="139">
        <v>153</v>
      </c>
      <c r="H27" s="139">
        <v>152</v>
      </c>
      <c r="I27" s="162"/>
      <c r="J27" s="163"/>
      <c r="K27" s="133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hidden="1">
      <c r="A28" s="132"/>
      <c r="B28" s="139" t="s">
        <v>196</v>
      </c>
      <c r="C28" s="139" t="s">
        <v>197</v>
      </c>
      <c r="D28" s="153">
        <v>115.456</v>
      </c>
      <c r="E28" s="153">
        <v>113.474</v>
      </c>
      <c r="F28" s="153">
        <v>106.633</v>
      </c>
      <c r="G28" s="153">
        <v>107.4</v>
      </c>
      <c r="H28" s="154">
        <v>104.1</v>
      </c>
      <c r="I28" s="168"/>
      <c r="J28" s="163"/>
      <c r="K28" s="133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idden="1">
      <c r="A29" s="132"/>
      <c r="B29" s="139" t="s">
        <v>198</v>
      </c>
      <c r="C29" s="139" t="s">
        <v>199</v>
      </c>
      <c r="D29" s="153">
        <v>2.673</v>
      </c>
      <c r="E29" s="153">
        <v>2.7440000000000002</v>
      </c>
      <c r="F29" s="153">
        <v>3.2</v>
      </c>
      <c r="G29" s="153">
        <v>3.4</v>
      </c>
      <c r="H29" s="154">
        <v>3.4</v>
      </c>
      <c r="I29" s="168"/>
      <c r="J29" s="163"/>
      <c r="K29" s="133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hidden="1">
      <c r="A30" s="132"/>
      <c r="B30" s="139" t="s">
        <v>200</v>
      </c>
      <c r="C30" s="139" t="s">
        <v>199</v>
      </c>
      <c r="D30" s="153">
        <v>31.687999999999999</v>
      </c>
      <c r="E30" s="153">
        <v>38.536000000000001</v>
      </c>
      <c r="F30" s="153">
        <v>35.061</v>
      </c>
      <c r="G30" s="153">
        <v>39.442239999999998</v>
      </c>
      <c r="H30" s="154">
        <v>37.9</v>
      </c>
      <c r="I30" s="168"/>
      <c r="J30" s="163"/>
      <c r="K30" s="133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hidden="1">
      <c r="A31" s="132"/>
      <c r="B31" s="139"/>
      <c r="C31" s="139"/>
      <c r="D31" s="139"/>
      <c r="E31" s="139"/>
      <c r="F31" s="139"/>
      <c r="G31" s="139"/>
      <c r="H31" s="139"/>
      <c r="I31" s="162"/>
      <c r="J31" s="163"/>
      <c r="K31" s="133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ht="15.75" hidden="1">
      <c r="A32" s="132"/>
      <c r="B32" s="207" t="s">
        <v>201</v>
      </c>
      <c r="C32" s="207"/>
      <c r="D32" s="207"/>
      <c r="E32" s="207"/>
      <c r="F32" s="207"/>
      <c r="G32" s="207"/>
      <c r="H32" s="207"/>
      <c r="I32" s="167"/>
      <c r="J32" s="163"/>
      <c r="K32" s="133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14" hidden="1">
      <c r="A33" s="132"/>
      <c r="B33" s="139" t="s">
        <v>202</v>
      </c>
      <c r="C33" s="139"/>
      <c r="D33" s="155">
        <v>10527</v>
      </c>
      <c r="E33" s="155">
        <v>11340</v>
      </c>
      <c r="F33" s="155">
        <v>8715</v>
      </c>
      <c r="G33" s="155">
        <v>7772</v>
      </c>
      <c r="H33" s="156"/>
      <c r="I33" s="169"/>
      <c r="J33" s="163"/>
      <c r="K33" s="133"/>
      <c r="L33" s="132"/>
      <c r="M33" s="132"/>
      <c r="N33" s="132"/>
    </row>
    <row r="34" spans="1:14" hidden="1">
      <c r="A34" s="132"/>
      <c r="B34" s="139" t="s">
        <v>203</v>
      </c>
      <c r="C34" s="139"/>
      <c r="D34" s="140">
        <v>17.8</v>
      </c>
      <c r="E34" s="140">
        <v>13.7</v>
      </c>
      <c r="F34" s="140">
        <v>11.8</v>
      </c>
      <c r="G34" s="140">
        <v>10.4</v>
      </c>
      <c r="H34" s="145">
        <v>10.4</v>
      </c>
      <c r="I34" s="165"/>
      <c r="J34" s="163"/>
      <c r="K34" s="133"/>
      <c r="L34" s="132"/>
      <c r="M34" s="132"/>
      <c r="N34" s="132"/>
    </row>
    <row r="35" spans="1:14">
      <c r="A35" s="132"/>
      <c r="B35" s="139"/>
      <c r="C35" s="139"/>
      <c r="D35" s="139"/>
      <c r="E35" s="139"/>
      <c r="F35" s="139"/>
      <c r="G35" s="139"/>
      <c r="H35" s="139"/>
      <c r="I35" s="162"/>
      <c r="J35" s="163"/>
      <c r="K35" s="133"/>
      <c r="L35" s="132"/>
      <c r="M35" s="132"/>
      <c r="N35" s="132"/>
    </row>
    <row r="36" spans="1:14">
      <c r="A36" s="132"/>
      <c r="B36" s="157"/>
      <c r="C36" s="157"/>
      <c r="D36" s="157"/>
      <c r="E36" s="157"/>
      <c r="F36" s="157"/>
      <c r="G36" s="157"/>
      <c r="H36" s="157"/>
      <c r="I36" s="170"/>
      <c r="J36" s="163"/>
      <c r="K36" s="133"/>
      <c r="L36" s="132"/>
      <c r="M36" s="132"/>
      <c r="N36" s="132"/>
    </row>
    <row r="37" spans="1:14" ht="15.75">
      <c r="A37" s="132"/>
      <c r="B37" s="158" t="s">
        <v>204</v>
      </c>
      <c r="C37" s="157"/>
      <c r="D37" s="157"/>
      <c r="E37" s="157"/>
      <c r="F37" s="157"/>
      <c r="G37" s="157"/>
      <c r="H37" s="157"/>
      <c r="I37" s="170"/>
      <c r="J37" s="163"/>
      <c r="K37" s="173"/>
      <c r="L37" s="132"/>
      <c r="M37" s="132"/>
      <c r="N37" s="132"/>
    </row>
    <row r="38" spans="1:14" ht="15.75">
      <c r="A38" s="132"/>
      <c r="B38" s="158" t="s">
        <v>205</v>
      </c>
      <c r="C38" s="157"/>
      <c r="D38" s="157"/>
      <c r="E38" s="157"/>
      <c r="F38" s="157"/>
      <c r="G38" s="157"/>
      <c r="H38" s="157"/>
      <c r="I38" s="170"/>
      <c r="J38" s="163"/>
      <c r="K38" s="133"/>
      <c r="L38" s="132"/>
      <c r="M38" s="132"/>
      <c r="N38" s="132"/>
    </row>
    <row r="39" spans="1:14" hidden="1">
      <c r="A39" s="132"/>
      <c r="B39" s="159" t="s">
        <v>206</v>
      </c>
      <c r="C39" s="159"/>
      <c r="D39" s="141">
        <f>+D9/D18</f>
        <v>9.6113011144123517E-2</v>
      </c>
      <c r="E39" s="141">
        <f t="shared" ref="E39:H39" si="4">+E9/E18</f>
        <v>7.2870110985180592E-2</v>
      </c>
      <c r="F39" s="141">
        <f t="shared" si="4"/>
        <v>7.7820833027253372E-2</v>
      </c>
      <c r="G39" s="141">
        <f t="shared" si="4"/>
        <v>6.4223996188532972E-2</v>
      </c>
      <c r="H39" s="141">
        <f t="shared" si="4"/>
        <v>7.3476973613122123E-2</v>
      </c>
      <c r="I39" s="166"/>
      <c r="J39" s="163"/>
      <c r="K39" s="133"/>
      <c r="L39" s="132"/>
      <c r="M39" s="132"/>
      <c r="N39" s="132"/>
    </row>
    <row r="40" spans="1:14">
      <c r="A40" s="132"/>
      <c r="B40" s="132"/>
      <c r="C40" s="132"/>
      <c r="D40" s="132"/>
      <c r="E40" s="132"/>
      <c r="F40" s="132"/>
      <c r="G40" s="132"/>
      <c r="H40" s="132"/>
      <c r="I40" s="164"/>
      <c r="J40" s="163"/>
      <c r="K40" s="133"/>
      <c r="L40" s="132"/>
      <c r="M40" s="132"/>
      <c r="N40" s="132"/>
    </row>
    <row r="41" spans="1:14">
      <c r="A41" s="132"/>
      <c r="B41" s="132"/>
      <c r="C41" s="132"/>
      <c r="D41" s="132"/>
      <c r="E41" s="132"/>
      <c r="F41" s="132"/>
      <c r="G41" s="132"/>
      <c r="H41" s="132"/>
      <c r="I41" s="164"/>
      <c r="J41" s="163"/>
      <c r="K41" s="133"/>
      <c r="L41" s="132"/>
      <c r="M41" s="132"/>
      <c r="N41" s="132"/>
    </row>
    <row r="42" spans="1:14" hidden="1">
      <c r="A42" s="132"/>
      <c r="B42" s="132"/>
      <c r="C42" s="132"/>
      <c r="D42" s="132"/>
      <c r="E42" s="132"/>
      <c r="F42" s="132"/>
      <c r="G42" s="132"/>
      <c r="H42" s="132"/>
      <c r="I42" s="164"/>
      <c r="J42" s="163"/>
      <c r="K42" s="133"/>
      <c r="L42" s="132"/>
      <c r="M42" s="132"/>
      <c r="N42" s="132"/>
    </row>
    <row r="43" spans="1:14" hidden="1">
      <c r="A43" s="132"/>
      <c r="B43" s="132"/>
      <c r="C43" s="132"/>
      <c r="D43" s="132"/>
      <c r="E43" s="132"/>
      <c r="F43" s="132"/>
      <c r="G43" s="132"/>
      <c r="H43" s="132"/>
      <c r="I43" s="164"/>
      <c r="J43" s="163"/>
      <c r="K43" s="133"/>
      <c r="L43" s="132"/>
      <c r="M43" s="132"/>
      <c r="N43" s="132"/>
    </row>
    <row r="44" spans="1:14" ht="15.75" hidden="1">
      <c r="A44" s="132"/>
      <c r="B44" s="132" t="s">
        <v>207</v>
      </c>
      <c r="C44" s="136">
        <v>2015</v>
      </c>
      <c r="D44" s="136">
        <v>2016</v>
      </c>
      <c r="E44" s="136">
        <v>2017</v>
      </c>
      <c r="F44" s="136">
        <v>2018</v>
      </c>
      <c r="G44" s="136">
        <v>2019</v>
      </c>
      <c r="H44" s="132"/>
      <c r="I44" s="164"/>
      <c r="J44" s="163"/>
      <c r="K44" s="133"/>
      <c r="L44" s="132"/>
      <c r="M44" s="132"/>
      <c r="N44" s="132"/>
    </row>
    <row r="45" spans="1:14" hidden="1">
      <c r="A45" s="132"/>
      <c r="B45" s="132" t="s">
        <v>116</v>
      </c>
      <c r="C45" s="143">
        <f>+D7</f>
        <v>41.058999999999997</v>
      </c>
      <c r="D45" s="143">
        <f t="shared" ref="D45:G45" si="5">+E7</f>
        <v>40.792999999999999</v>
      </c>
      <c r="E45" s="143">
        <f t="shared" si="5"/>
        <v>47.98</v>
      </c>
      <c r="F45" s="143">
        <f t="shared" si="5"/>
        <v>74.733999999999995</v>
      </c>
      <c r="G45" s="143">
        <f t="shared" si="5"/>
        <v>96.2</v>
      </c>
      <c r="H45" s="132"/>
      <c r="I45" s="164"/>
      <c r="J45" s="163"/>
      <c r="K45" s="133"/>
      <c r="L45" s="132"/>
      <c r="M45" s="132"/>
      <c r="N45" s="132"/>
    </row>
    <row r="46" spans="1:14" hidden="1">
      <c r="A46" s="132"/>
      <c r="B46" s="132" t="s">
        <v>176</v>
      </c>
      <c r="C46" s="144">
        <f>+D12</f>
        <v>9.6320902332542743E-2</v>
      </c>
      <c r="D46" s="144">
        <f t="shared" ref="D46:G46" si="6">+E12</f>
        <v>0.10355340515621984</v>
      </c>
      <c r="E46" s="144">
        <f t="shared" si="6"/>
        <v>0.10255949861700717</v>
      </c>
      <c r="F46" s="144">
        <f t="shared" si="6"/>
        <v>0.14486140724946694</v>
      </c>
      <c r="G46" s="144">
        <f t="shared" si="6"/>
        <v>0.18157795394488488</v>
      </c>
      <c r="H46" s="132"/>
      <c r="I46" s="164"/>
      <c r="J46" s="163"/>
      <c r="K46" s="133"/>
      <c r="L46" s="132"/>
      <c r="M46" s="132"/>
      <c r="N46" s="132"/>
    </row>
    <row r="47" spans="1:14" hidden="1">
      <c r="A47" s="132"/>
      <c r="B47" s="132"/>
      <c r="C47" s="132"/>
      <c r="D47" s="132"/>
      <c r="E47" s="132"/>
      <c r="F47" s="132"/>
      <c r="G47" s="132"/>
      <c r="H47" s="132"/>
      <c r="I47" s="164"/>
      <c r="J47" s="163"/>
      <c r="K47" s="133"/>
      <c r="L47" s="132"/>
      <c r="M47" s="132"/>
      <c r="N47" s="132"/>
    </row>
    <row r="48" spans="1:14" hidden="1">
      <c r="A48" s="132"/>
      <c r="B48" s="132"/>
      <c r="C48" s="132"/>
      <c r="D48" s="132"/>
      <c r="E48" s="132"/>
      <c r="F48" s="132"/>
      <c r="G48" s="132"/>
      <c r="H48" s="132"/>
      <c r="I48" s="164"/>
      <c r="J48" s="163"/>
      <c r="K48" s="133"/>
      <c r="L48" s="132"/>
      <c r="M48" s="132"/>
      <c r="N48" s="132"/>
    </row>
    <row r="49" spans="2:2" hidden="1">
      <c r="B49" s="160" t="s">
        <v>208</v>
      </c>
    </row>
    <row r="50" spans="2:2" hidden="1">
      <c r="B50" s="132"/>
    </row>
    <row r="51" spans="2:2" hidden="1">
      <c r="B51" s="132"/>
    </row>
    <row r="52" spans="2:2" hidden="1">
      <c r="B52" s="132"/>
    </row>
    <row r="53" spans="2:2" hidden="1">
      <c r="B53" s="132"/>
    </row>
    <row r="54" spans="2:2" hidden="1">
      <c r="B54" s="132"/>
    </row>
    <row r="55" spans="2:2" hidden="1">
      <c r="B55" s="132"/>
    </row>
    <row r="56" spans="2:2" hidden="1">
      <c r="B56" s="132"/>
    </row>
    <row r="57" spans="2:2" hidden="1">
      <c r="B57" s="132"/>
    </row>
    <row r="58" spans="2:2" hidden="1">
      <c r="B58" s="132"/>
    </row>
    <row r="59" spans="2:2" hidden="1">
      <c r="B59" s="132"/>
    </row>
    <row r="60" spans="2:2" hidden="1">
      <c r="B60" s="132"/>
    </row>
    <row r="61" spans="2:2" hidden="1">
      <c r="B61" s="132"/>
    </row>
    <row r="62" spans="2:2" hidden="1">
      <c r="B62" s="132"/>
    </row>
    <row r="63" spans="2:2" hidden="1">
      <c r="B63" s="132"/>
    </row>
    <row r="64" spans="2:2" hidden="1">
      <c r="B64" s="132"/>
    </row>
    <row r="65" spans="2:20" hidden="1"/>
    <row r="66" spans="2:20" hidden="1"/>
    <row r="67" spans="2:20" ht="15.75">
      <c r="O67" s="136">
        <v>2015</v>
      </c>
      <c r="P67" s="136">
        <v>2016</v>
      </c>
      <c r="Q67" s="136">
        <v>2017</v>
      </c>
      <c r="R67" s="136">
        <v>2018</v>
      </c>
      <c r="S67" s="136">
        <v>2019</v>
      </c>
      <c r="T67" s="136" t="s">
        <v>245</v>
      </c>
    </row>
    <row r="68" spans="2:20" ht="15.75">
      <c r="B68" s="136" t="s">
        <v>167</v>
      </c>
      <c r="C68" s="136"/>
      <c r="J68" s="181"/>
      <c r="L68" t="s">
        <v>164</v>
      </c>
      <c r="N68" t="s">
        <v>249</v>
      </c>
      <c r="O68" s="34">
        <f>+D7</f>
        <v>41.058999999999997</v>
      </c>
      <c r="P68" s="34">
        <f t="shared" ref="P68:S68" si="7">+E7</f>
        <v>40.792999999999999</v>
      </c>
      <c r="Q68" s="34">
        <f t="shared" si="7"/>
        <v>47.98</v>
      </c>
      <c r="R68" s="34">
        <f t="shared" si="7"/>
        <v>74.733999999999995</v>
      </c>
      <c r="S68" s="34">
        <f t="shared" si="7"/>
        <v>96.2</v>
      </c>
      <c r="T68" s="34" t="e">
        <f>+I7</f>
        <v>#REF!</v>
      </c>
    </row>
    <row r="69" spans="2:20">
      <c r="B69" s="139" t="s">
        <v>169</v>
      </c>
      <c r="C69" s="139" t="s">
        <v>170</v>
      </c>
      <c r="D69" s="140">
        <v>426.27300000000002</v>
      </c>
      <c r="E69" s="140">
        <v>393.93200000000002</v>
      </c>
      <c r="F69" s="140">
        <v>467.82600000000002</v>
      </c>
      <c r="G69" s="140">
        <v>515.9</v>
      </c>
      <c r="H69" s="140">
        <v>529.79999999999995</v>
      </c>
      <c r="I69" s="140" t="e">
        <f>+I71+I72+I73</f>
        <v>#REF!</v>
      </c>
    </row>
    <row r="70" spans="2:20" ht="15.75">
      <c r="D70" s="136">
        <v>2015</v>
      </c>
      <c r="E70" s="136">
        <v>2016</v>
      </c>
      <c r="F70" s="136">
        <v>2017</v>
      </c>
      <c r="G70" s="136">
        <v>2018</v>
      </c>
      <c r="H70" s="136">
        <v>2019</v>
      </c>
      <c r="I70" s="136" t="s">
        <v>245</v>
      </c>
    </row>
    <row r="71" spans="2:20">
      <c r="C71" t="s">
        <v>1</v>
      </c>
      <c r="D71" s="196">
        <v>189</v>
      </c>
      <c r="E71" s="196">
        <v>185</v>
      </c>
      <c r="F71" s="196">
        <v>182</v>
      </c>
      <c r="G71" s="196">
        <v>186.7</v>
      </c>
      <c r="H71" s="196">
        <v>205.1</v>
      </c>
      <c r="I71" s="197" t="e">
        <f>+#REF!/1000</f>
        <v>#REF!</v>
      </c>
      <c r="J71" s="140"/>
    </row>
    <row r="72" spans="2:20">
      <c r="C72" t="s">
        <v>0</v>
      </c>
      <c r="D72" s="196">
        <v>125</v>
      </c>
      <c r="E72" s="196">
        <v>115</v>
      </c>
      <c r="F72" s="196">
        <v>218</v>
      </c>
      <c r="G72" s="196">
        <v>271.60000000000002</v>
      </c>
      <c r="H72" s="196">
        <v>274.10000000000002</v>
      </c>
      <c r="I72" s="197">
        <f>+'Terminales Portuarios'!H19/1000</f>
        <v>268.19348498115534</v>
      </c>
      <c r="J72" s="194"/>
    </row>
    <row r="73" spans="2:20">
      <c r="C73" t="s">
        <v>210</v>
      </c>
      <c r="D73" s="196">
        <v>112</v>
      </c>
      <c r="E73" s="196">
        <v>94</v>
      </c>
      <c r="F73" s="196">
        <v>69</v>
      </c>
      <c r="G73" s="196">
        <v>57.7</v>
      </c>
      <c r="H73" s="196">
        <v>50.6</v>
      </c>
      <c r="I73" s="197" t="e">
        <f>+Log!F4/1000</f>
        <v>#REF!</v>
      </c>
      <c r="J73" s="194"/>
    </row>
    <row r="74" spans="2:20" ht="15.75">
      <c r="D74" s="136">
        <v>2015</v>
      </c>
      <c r="E74" s="136">
        <v>2016</v>
      </c>
      <c r="F74" s="136">
        <v>2017</v>
      </c>
      <c r="G74" s="136">
        <v>2018</v>
      </c>
      <c r="H74" s="136">
        <v>2019</v>
      </c>
      <c r="I74" s="136" t="s">
        <v>246</v>
      </c>
    </row>
    <row r="75" spans="2:20">
      <c r="C75" t="s">
        <v>243</v>
      </c>
      <c r="D75">
        <v>51.6</v>
      </c>
      <c r="E75">
        <v>54.5</v>
      </c>
      <c r="F75">
        <v>27.1</v>
      </c>
      <c r="G75">
        <v>51.7</v>
      </c>
      <c r="H75">
        <v>58.5</v>
      </c>
      <c r="I75" s="126">
        <f>+([1]Presentacion!$C$51+[1]Presentacion!$H$51+[1]Presentacion!$I$51+[1]Presentacion!$J$51)/1000</f>
        <v>56.17313816978195</v>
      </c>
    </row>
    <row r="76" spans="2:20" ht="20.25" customHeight="1">
      <c r="C76" t="s">
        <v>244</v>
      </c>
      <c r="D76">
        <v>17.3</v>
      </c>
      <c r="F76">
        <v>32.200000000000003</v>
      </c>
      <c r="G76">
        <v>-2.1</v>
      </c>
      <c r="H76">
        <v>-0.2</v>
      </c>
      <c r="I76" s="194">
        <f>+[1]Presentacion!$C$50/1000</f>
        <v>2.7559999999999998</v>
      </c>
    </row>
    <row r="77" spans="2:20">
      <c r="D77" s="198">
        <f t="shared" ref="D77:G77" si="8">+D75+D76</f>
        <v>68.900000000000006</v>
      </c>
      <c r="E77" s="198">
        <f t="shared" si="8"/>
        <v>54.5</v>
      </c>
      <c r="F77" s="198">
        <f t="shared" si="8"/>
        <v>59.300000000000004</v>
      </c>
      <c r="G77" s="198">
        <f t="shared" si="8"/>
        <v>49.6</v>
      </c>
      <c r="H77" s="198">
        <f>+H75+H76</f>
        <v>58.3</v>
      </c>
      <c r="I77" s="198">
        <f>+I75+I76</f>
        <v>58.92913816978195</v>
      </c>
    </row>
    <row r="78" spans="2:20" ht="15.75">
      <c r="B78" t="s">
        <v>116</v>
      </c>
      <c r="C78" t="s">
        <v>170</v>
      </c>
      <c r="D78" s="136">
        <v>2015</v>
      </c>
      <c r="E78" s="136">
        <v>2016</v>
      </c>
      <c r="F78" s="136">
        <v>2017</v>
      </c>
      <c r="G78" s="136">
        <v>2018</v>
      </c>
      <c r="H78" s="136">
        <v>2019</v>
      </c>
      <c r="I78" s="136" t="s">
        <v>245</v>
      </c>
    </row>
    <row r="79" spans="2:20">
      <c r="C79" t="s">
        <v>1</v>
      </c>
    </row>
    <row r="80" spans="2:20">
      <c r="C80" t="s">
        <v>0</v>
      </c>
    </row>
    <row r="81" spans="3:3">
      <c r="C81" t="s">
        <v>210</v>
      </c>
    </row>
  </sheetData>
  <mergeCells count="3">
    <mergeCell ref="B2:H2"/>
    <mergeCell ref="B24:H24"/>
    <mergeCell ref="B32:H32"/>
  </mergeCells>
  <pageMargins left="0" right="0" top="0.15748031496062992" bottom="0.15748031496062992" header="0.51181102362204722" footer="0.51181102362204722"/>
  <pageSetup scale="25" firstPageNumber="0" fitToHeight="3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selection activeCell="H32" sqref="H32"/>
    </sheetView>
  </sheetViews>
  <sheetFormatPr baseColWidth="10" defaultRowHeight="15"/>
  <cols>
    <col min="2" max="2" width="20.5703125" bestFit="1" customWidth="1"/>
    <col min="4" max="4" width="14.42578125" bestFit="1" customWidth="1"/>
    <col min="8" max="8" width="17.42578125" customWidth="1"/>
  </cols>
  <sheetData>
    <row r="2" spans="2:13">
      <c r="C2" s="176">
        <v>43921</v>
      </c>
    </row>
    <row r="3" spans="2:13" ht="15.75">
      <c r="B3" s="67" t="s">
        <v>169</v>
      </c>
      <c r="C3" s="136" t="s">
        <v>209</v>
      </c>
      <c r="D3" s="177" t="s">
        <v>212</v>
      </c>
    </row>
    <row r="4" spans="2:13">
      <c r="B4" t="s">
        <v>1</v>
      </c>
      <c r="C4" s="34" t="e">
        <f>+#REF!</f>
        <v>#REF!</v>
      </c>
      <c r="D4" s="177"/>
    </row>
    <row r="5" spans="2:13">
      <c r="B5" t="s">
        <v>0</v>
      </c>
      <c r="C5" s="34">
        <v>268193.48498115531</v>
      </c>
    </row>
    <row r="6" spans="2:13">
      <c r="B6" t="s">
        <v>210</v>
      </c>
      <c r="C6" s="34">
        <v>50184.736627002203</v>
      </c>
    </row>
    <row r="7" spans="2:13">
      <c r="B7" t="s">
        <v>211</v>
      </c>
      <c r="C7" s="34">
        <v>-2713.7925699999996</v>
      </c>
      <c r="M7" s="201"/>
    </row>
    <row r="8" spans="2:13">
      <c r="C8" s="34" t="e">
        <f>+C4+C5+C6+C7</f>
        <v>#REF!</v>
      </c>
      <c r="M8" s="202"/>
    </row>
    <row r="10" spans="2:13">
      <c r="C10" s="176">
        <v>43921</v>
      </c>
    </row>
    <row r="11" spans="2:13" ht="15.75">
      <c r="B11" s="67" t="s">
        <v>90</v>
      </c>
      <c r="C11" s="136" t="s">
        <v>209</v>
      </c>
    </row>
    <row r="12" spans="2:13">
      <c r="B12" t="s">
        <v>1</v>
      </c>
      <c r="C12" s="34" t="e">
        <f>+#REF!</f>
        <v>#REF!</v>
      </c>
    </row>
    <row r="13" spans="2:13">
      <c r="B13" t="s">
        <v>0</v>
      </c>
      <c r="C13" s="34">
        <v>105062.47951007371</v>
      </c>
    </row>
    <row r="14" spans="2:13">
      <c r="B14" t="s">
        <v>210</v>
      </c>
      <c r="C14" s="34">
        <v>9612.1255847899993</v>
      </c>
    </row>
    <row r="15" spans="2:13">
      <c r="B15" t="s">
        <v>211</v>
      </c>
      <c r="C15" s="34">
        <v>-15544.640176196999</v>
      </c>
    </row>
    <row r="16" spans="2:13">
      <c r="C16" s="34" t="e">
        <f>+C12+C13+C14+C15</f>
        <v>#REF!</v>
      </c>
    </row>
    <row r="19" spans="2:14">
      <c r="B19" s="67" t="s">
        <v>218</v>
      </c>
      <c r="C19" s="181" t="s">
        <v>165</v>
      </c>
      <c r="D19" s="181" t="s">
        <v>216</v>
      </c>
      <c r="E19" s="181" t="s">
        <v>217</v>
      </c>
      <c r="F19" s="181" t="s">
        <v>113</v>
      </c>
      <c r="H19" s="67" t="s">
        <v>218</v>
      </c>
      <c r="K19" s="179"/>
    </row>
    <row r="20" spans="2:14">
      <c r="B20" s="178" t="s">
        <v>19</v>
      </c>
      <c r="C20" s="34">
        <f>+D27-C27+E27</f>
        <v>36302</v>
      </c>
      <c r="D20" s="34">
        <f>+G27-F27+H27</f>
        <v>45722</v>
      </c>
      <c r="E20" s="34">
        <f>+J27-I27+K27</f>
        <v>49494</v>
      </c>
      <c r="F20" s="34">
        <f>SUM(C20:E20)</f>
        <v>131518</v>
      </c>
      <c r="H20" s="178" t="s">
        <v>19</v>
      </c>
      <c r="I20" s="34">
        <f>+F20</f>
        <v>131518</v>
      </c>
    </row>
    <row r="21" spans="2:14" ht="30">
      <c r="B21" s="178" t="s">
        <v>213</v>
      </c>
      <c r="C21" s="34" t="e">
        <f>+D28-C28+E28+#REF!</f>
        <v>#REF!</v>
      </c>
      <c r="D21" s="34">
        <f>+G28-F28+H28</f>
        <v>93077</v>
      </c>
      <c r="E21" s="34"/>
      <c r="F21" s="34" t="e">
        <f t="shared" ref="F21:F23" si="0">SUM(C21:E21)</f>
        <v>#REF!</v>
      </c>
      <c r="H21" s="178" t="s">
        <v>213</v>
      </c>
      <c r="I21" s="34" t="e">
        <f t="shared" ref="I21:I23" si="1">+F21</f>
        <v>#REF!</v>
      </c>
    </row>
    <row r="22" spans="2:14">
      <c r="B22" s="178" t="s">
        <v>214</v>
      </c>
      <c r="C22" s="34">
        <f t="shared" ref="C22:C23" si="2">+D29-C29+E29</f>
        <v>42741</v>
      </c>
      <c r="D22" s="34">
        <f t="shared" ref="D22:D23" si="3">+G29-F29+H29</f>
        <v>62712</v>
      </c>
      <c r="E22" s="34"/>
      <c r="F22" s="34">
        <f t="shared" si="0"/>
        <v>105453</v>
      </c>
      <c r="H22" s="178" t="s">
        <v>214</v>
      </c>
      <c r="I22" s="34">
        <f t="shared" si="1"/>
        <v>105453</v>
      </c>
    </row>
    <row r="23" spans="2:14">
      <c r="B23" s="178" t="s">
        <v>215</v>
      </c>
      <c r="C23" s="34">
        <f t="shared" si="2"/>
        <v>78591</v>
      </c>
      <c r="D23" s="34">
        <f t="shared" si="3"/>
        <v>66634</v>
      </c>
      <c r="E23" s="34"/>
      <c r="F23" s="34">
        <f t="shared" si="0"/>
        <v>145225</v>
      </c>
      <c r="H23" s="178" t="s">
        <v>215</v>
      </c>
      <c r="I23" s="34">
        <f t="shared" si="1"/>
        <v>145225</v>
      </c>
    </row>
    <row r="24" spans="2:14">
      <c r="B24" s="178"/>
      <c r="F24" s="34" t="e">
        <f>SUM(F20:F23)</f>
        <v>#REF!</v>
      </c>
    </row>
    <row r="25" spans="2:14">
      <c r="C25" s="208" t="s">
        <v>219</v>
      </c>
      <c r="D25" s="208"/>
      <c r="E25" s="208"/>
      <c r="F25" s="208" t="s">
        <v>216</v>
      </c>
      <c r="G25" s="208"/>
      <c r="H25" s="208"/>
      <c r="I25" s="208" t="s">
        <v>7</v>
      </c>
      <c r="J25" s="208"/>
      <c r="K25" s="208"/>
      <c r="L25" s="180"/>
      <c r="M25" s="180"/>
      <c r="N25" s="180"/>
    </row>
    <row r="26" spans="2:14">
      <c r="C26" s="182" t="s">
        <v>160</v>
      </c>
      <c r="D26" s="182">
        <v>2019</v>
      </c>
      <c r="E26" s="182" t="s">
        <v>164</v>
      </c>
      <c r="F26" s="182" t="s">
        <v>160</v>
      </c>
      <c r="G26" s="182">
        <v>2019</v>
      </c>
      <c r="H26" s="182" t="s">
        <v>164</v>
      </c>
      <c r="I26" s="182" t="s">
        <v>160</v>
      </c>
      <c r="J26" s="182">
        <v>2019</v>
      </c>
      <c r="K26" s="182" t="s">
        <v>164</v>
      </c>
    </row>
    <row r="27" spans="2:14">
      <c r="B27" s="178" t="s">
        <v>19</v>
      </c>
      <c r="C27">
        <v>10348</v>
      </c>
      <c r="D27">
        <v>37683</v>
      </c>
      <c r="E27">
        <v>8967</v>
      </c>
      <c r="F27">
        <v>11040</v>
      </c>
      <c r="G27">
        <v>46059</v>
      </c>
      <c r="H27">
        <v>10703</v>
      </c>
      <c r="I27">
        <v>12587</v>
      </c>
      <c r="J27">
        <v>50633</v>
      </c>
      <c r="K27">
        <v>11448</v>
      </c>
    </row>
    <row r="28" spans="2:14" ht="30">
      <c r="B28" s="178" t="s">
        <v>213</v>
      </c>
      <c r="C28">
        <v>7049</v>
      </c>
      <c r="D28">
        <v>47282</v>
      </c>
      <c r="E28">
        <v>32192</v>
      </c>
      <c r="F28">
        <v>27990</v>
      </c>
      <c r="G28">
        <v>97758</v>
      </c>
      <c r="H28">
        <v>23309</v>
      </c>
    </row>
    <row r="29" spans="2:14">
      <c r="B29" s="178" t="s">
        <v>214</v>
      </c>
      <c r="C29">
        <v>2489</v>
      </c>
      <c r="D29">
        <v>35910</v>
      </c>
      <c r="E29">
        <v>9320</v>
      </c>
      <c r="F29">
        <v>15294</v>
      </c>
      <c r="G29">
        <v>63828</v>
      </c>
      <c r="H29">
        <v>14178</v>
      </c>
    </row>
    <row r="30" spans="2:14">
      <c r="B30" s="178" t="s">
        <v>215</v>
      </c>
      <c r="C30">
        <v>25896</v>
      </c>
      <c r="D30">
        <v>84205</v>
      </c>
      <c r="E30">
        <v>20282</v>
      </c>
      <c r="F30">
        <v>16609</v>
      </c>
      <c r="G30">
        <v>66435</v>
      </c>
      <c r="H30">
        <v>16808</v>
      </c>
    </row>
  </sheetData>
  <mergeCells count="3">
    <mergeCell ref="C25:E25"/>
    <mergeCell ref="F25:H25"/>
    <mergeCell ref="I25:K25"/>
  </mergeCells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5" sqref="G15"/>
    </sheetView>
  </sheetViews>
  <sheetFormatPr baseColWidth="10" defaultRowHeight="15"/>
  <cols>
    <col min="1" max="1" width="5.7109375" customWidth="1"/>
    <col min="2" max="2" width="32.28515625" style="29" bestFit="1" customWidth="1"/>
    <col min="12" max="12" width="11.5703125" customWidth="1"/>
  </cols>
  <sheetData>
    <row r="2" spans="1:5">
      <c r="B2" s="45" t="s">
        <v>2</v>
      </c>
    </row>
    <row r="4" spans="1:5" ht="38.1" customHeight="1">
      <c r="A4" s="35"/>
      <c r="B4" s="47" t="s">
        <v>92</v>
      </c>
      <c r="C4" s="37" t="s">
        <v>162</v>
      </c>
      <c r="D4" s="37" t="s">
        <v>240</v>
      </c>
      <c r="E4" s="37" t="s">
        <v>255</v>
      </c>
    </row>
    <row r="5" spans="1:5" s="48" customFormat="1">
      <c r="B5" s="49"/>
      <c r="D5" s="98"/>
    </row>
    <row r="6" spans="1:5" s="46" customFormat="1" ht="15" customHeight="1">
      <c r="B6" s="50" t="s">
        <v>93</v>
      </c>
      <c r="C6" s="98">
        <v>229572</v>
      </c>
      <c r="D6" s="98">
        <v>215553</v>
      </c>
      <c r="E6" s="98">
        <v>245534</v>
      </c>
    </row>
    <row r="7" spans="1:5" s="46" customFormat="1" ht="15" customHeight="1">
      <c r="B7" s="50" t="s">
        <v>94</v>
      </c>
      <c r="C7" s="98">
        <v>161489</v>
      </c>
      <c r="D7" s="98">
        <v>162162</v>
      </c>
      <c r="E7" s="98">
        <v>150706</v>
      </c>
    </row>
    <row r="8" spans="1:5" ht="15" customHeight="1">
      <c r="B8" s="51" t="s">
        <v>95</v>
      </c>
      <c r="C8" s="52">
        <v>391061</v>
      </c>
      <c r="D8" s="52">
        <v>377715</v>
      </c>
      <c r="E8" s="52">
        <v>396240</v>
      </c>
    </row>
    <row r="9" spans="1:5" s="46" customFormat="1" ht="15" customHeight="1">
      <c r="B9" s="50" t="s">
        <v>96</v>
      </c>
      <c r="C9" s="53">
        <v>737018</v>
      </c>
      <c r="D9" s="53">
        <v>748255</v>
      </c>
      <c r="E9" s="53">
        <v>743448</v>
      </c>
    </row>
    <row r="10" spans="1:5" s="46" customFormat="1" ht="15" customHeight="1">
      <c r="B10" s="50" t="s">
        <v>97</v>
      </c>
      <c r="C10" s="53">
        <v>489910</v>
      </c>
      <c r="D10" s="53">
        <v>451110</v>
      </c>
      <c r="E10" s="53">
        <v>443547</v>
      </c>
    </row>
    <row r="11" spans="1:5" ht="15" customHeight="1">
      <c r="B11" s="51" t="s">
        <v>98</v>
      </c>
      <c r="C11" s="52">
        <v>1226928</v>
      </c>
      <c r="D11" s="52">
        <v>1199365</v>
      </c>
      <c r="E11" s="52">
        <v>1186995</v>
      </c>
    </row>
    <row r="12" spans="1:5" ht="15" customHeight="1">
      <c r="B12" s="51" t="s">
        <v>99</v>
      </c>
      <c r="C12" s="52">
        <v>1617989</v>
      </c>
      <c r="D12" s="52">
        <v>1577080</v>
      </c>
      <c r="E12" s="52">
        <v>1583235</v>
      </c>
    </row>
    <row r="13" spans="1:5" s="54" customFormat="1" ht="15" customHeight="1">
      <c r="B13" s="55"/>
      <c r="C13" s="98"/>
      <c r="D13" s="98"/>
      <c r="E13" s="98"/>
    </row>
    <row r="14" spans="1:5" s="46" customFormat="1" ht="15" customHeight="1">
      <c r="B14" s="50" t="s">
        <v>100</v>
      </c>
      <c r="C14" s="98">
        <v>88431</v>
      </c>
      <c r="D14" s="98">
        <v>83919</v>
      </c>
      <c r="E14" s="98">
        <v>82287</v>
      </c>
    </row>
    <row r="15" spans="1:5" s="46" customFormat="1" ht="15" customHeight="1">
      <c r="B15" s="55" t="s">
        <v>101</v>
      </c>
      <c r="C15" s="98">
        <v>3904</v>
      </c>
      <c r="D15" s="98">
        <v>4931</v>
      </c>
      <c r="E15" s="98">
        <v>4640</v>
      </c>
    </row>
    <row r="16" spans="1:5" s="46" customFormat="1" ht="15" customHeight="1">
      <c r="B16" s="50" t="s">
        <v>102</v>
      </c>
      <c r="C16" s="53">
        <v>103761</v>
      </c>
      <c r="D16" s="53">
        <v>94549</v>
      </c>
      <c r="E16" s="53">
        <v>75540</v>
      </c>
    </row>
    <row r="17" spans="2:5" ht="15" customHeight="1">
      <c r="B17" s="51" t="s">
        <v>103</v>
      </c>
      <c r="C17" s="52">
        <v>196096</v>
      </c>
      <c r="D17" s="52">
        <v>183399</v>
      </c>
      <c r="E17" s="52">
        <v>162467</v>
      </c>
    </row>
    <row r="18" spans="2:5" s="46" customFormat="1" ht="15" customHeight="1">
      <c r="B18" s="50" t="s">
        <v>104</v>
      </c>
      <c r="C18" s="98">
        <v>448545</v>
      </c>
      <c r="D18" s="98">
        <v>439291</v>
      </c>
      <c r="E18" s="98">
        <v>475722</v>
      </c>
    </row>
    <row r="19" spans="2:5" s="46" customFormat="1" ht="15" customHeight="1">
      <c r="B19" s="55" t="s">
        <v>101</v>
      </c>
      <c r="C19" s="98">
        <v>39874</v>
      </c>
      <c r="D19" s="98">
        <v>32569</v>
      </c>
      <c r="E19" s="98">
        <v>33322</v>
      </c>
    </row>
    <row r="20" spans="2:5" s="46" customFormat="1" ht="15" customHeight="1">
      <c r="B20" s="50" t="s">
        <v>105</v>
      </c>
      <c r="C20" s="53">
        <v>104726</v>
      </c>
      <c r="D20" s="53">
        <v>109519</v>
      </c>
      <c r="E20" s="53">
        <v>99665</v>
      </c>
    </row>
    <row r="21" spans="2:5" s="46" customFormat="1" ht="15" customHeight="1">
      <c r="B21" s="51" t="s">
        <v>106</v>
      </c>
      <c r="C21" s="52">
        <v>593145</v>
      </c>
      <c r="D21" s="52">
        <v>581379</v>
      </c>
      <c r="E21" s="52">
        <v>608709</v>
      </c>
    </row>
    <row r="22" spans="2:5" ht="15" customHeight="1">
      <c r="B22" s="51" t="s">
        <v>107</v>
      </c>
      <c r="C22" s="52">
        <v>789241</v>
      </c>
      <c r="D22" s="52">
        <v>764778</v>
      </c>
      <c r="E22" s="52">
        <v>771176</v>
      </c>
    </row>
    <row r="23" spans="2:5" s="54" customFormat="1">
      <c r="B23" s="57"/>
      <c r="C23" s="2"/>
      <c r="D23" s="98"/>
      <c r="E23" s="98"/>
    </row>
    <row r="24" spans="2:5" s="46" customFormat="1" ht="20.100000000000001" customHeight="1">
      <c r="B24" s="50" t="s">
        <v>108</v>
      </c>
      <c r="C24" s="53">
        <v>786641</v>
      </c>
      <c r="D24" s="53">
        <v>773731</v>
      </c>
      <c r="E24" s="53">
        <v>772320</v>
      </c>
    </row>
    <row r="25" spans="2:5" s="46" customFormat="1" ht="20.100000000000001" customHeight="1">
      <c r="B25" s="50" t="s">
        <v>109</v>
      </c>
      <c r="C25" s="53">
        <v>42107</v>
      </c>
      <c r="D25" s="53">
        <v>38571</v>
      </c>
      <c r="E25" s="53">
        <v>39739</v>
      </c>
    </row>
    <row r="26" spans="2:5">
      <c r="B26" s="51" t="s">
        <v>110</v>
      </c>
      <c r="C26" s="52">
        <v>828748</v>
      </c>
      <c r="D26" s="52">
        <v>812302</v>
      </c>
      <c r="E26" s="52">
        <v>812059</v>
      </c>
    </row>
    <row r="27" spans="2:5">
      <c r="B27" s="51" t="s">
        <v>111</v>
      </c>
      <c r="C27" s="52">
        <v>1617989</v>
      </c>
      <c r="D27" s="52">
        <v>1577080</v>
      </c>
      <c r="E27" s="52">
        <v>1583235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baseColWidth="10" defaultRowHeight="15"/>
  <cols>
    <col min="1" max="1" width="5.7109375" style="1" customWidth="1"/>
    <col min="2" max="2" width="39.28515625" style="29" customWidth="1"/>
    <col min="3" max="3" width="9.7109375" style="1" customWidth="1"/>
    <col min="4" max="16384" width="11.42578125" style="1"/>
  </cols>
  <sheetData>
    <row r="2" spans="1:6">
      <c r="B2" s="30" t="s">
        <v>2</v>
      </c>
    </row>
    <row r="4" spans="1:6" ht="35.1" customHeight="1" thickBot="1">
      <c r="A4" s="35"/>
      <c r="B4" s="114" t="s">
        <v>72</v>
      </c>
      <c r="C4" s="115" t="s">
        <v>161</v>
      </c>
      <c r="D4" s="192" t="s">
        <v>254</v>
      </c>
      <c r="E4" s="192" t="s">
        <v>257</v>
      </c>
      <c r="F4" s="192" t="s">
        <v>258</v>
      </c>
    </row>
    <row r="5" spans="1:6" s="32" customFormat="1" ht="18" customHeight="1">
      <c r="B5" s="31"/>
      <c r="C5"/>
    </row>
    <row r="6" spans="1:6" s="116" customFormat="1">
      <c r="B6" s="43" t="s">
        <v>73</v>
      </c>
      <c r="C6" s="96">
        <v>124728.95396999999</v>
      </c>
      <c r="D6" s="96">
        <v>143486</v>
      </c>
      <c r="E6" s="96">
        <v>254030.95396999997</v>
      </c>
      <c r="F6" s="96">
        <v>290694</v>
      </c>
    </row>
    <row r="7" spans="1:6" s="33" customFormat="1">
      <c r="B7" s="94" t="s">
        <v>74</v>
      </c>
      <c r="C7" s="38">
        <v>-87372.548650893645</v>
      </c>
      <c r="D7" s="40">
        <v>-92626</v>
      </c>
      <c r="E7" s="40">
        <v>-177022.54865089364</v>
      </c>
      <c r="F7" s="40">
        <v>-193508</v>
      </c>
    </row>
    <row r="8" spans="1:6" s="33" customFormat="1">
      <c r="B8" s="94" t="s">
        <v>75</v>
      </c>
      <c r="C8" s="38">
        <v>37356.40531910635</v>
      </c>
      <c r="D8" s="40">
        <v>50861</v>
      </c>
      <c r="E8" s="40">
        <v>77008.405319106358</v>
      </c>
      <c r="F8" s="40">
        <v>97186</v>
      </c>
    </row>
    <row r="9" spans="1:6" s="33" customFormat="1">
      <c r="B9" s="94" t="s">
        <v>76</v>
      </c>
      <c r="C9" s="38">
        <v>-16232</v>
      </c>
      <c r="D9" s="40">
        <v>-19855</v>
      </c>
      <c r="E9" s="40">
        <v>-33278</v>
      </c>
      <c r="F9" s="40">
        <v>-38494</v>
      </c>
    </row>
    <row r="10" spans="1:6" s="33" customFormat="1">
      <c r="B10" s="39" t="s">
        <v>77</v>
      </c>
      <c r="C10" s="96">
        <v>21124.40531910635</v>
      </c>
      <c r="D10" s="96">
        <v>31005</v>
      </c>
      <c r="E10" s="96">
        <v>43730</v>
      </c>
      <c r="F10" s="96">
        <v>58692</v>
      </c>
    </row>
    <row r="11" spans="1:6" s="33" customFormat="1">
      <c r="B11" s="55" t="s">
        <v>78</v>
      </c>
      <c r="C11" s="38">
        <v>-214</v>
      </c>
      <c r="D11" s="40">
        <v>916</v>
      </c>
      <c r="E11" s="40">
        <v>5152</v>
      </c>
      <c r="F11" s="40">
        <v>4604</v>
      </c>
    </row>
    <row r="12" spans="1:6" s="33" customFormat="1">
      <c r="B12" s="55" t="s">
        <v>79</v>
      </c>
      <c r="C12" s="38">
        <v>1715</v>
      </c>
      <c r="D12" s="40">
        <v>154</v>
      </c>
      <c r="E12" s="40">
        <v>3479</v>
      </c>
      <c r="F12" s="40">
        <v>1849</v>
      </c>
    </row>
    <row r="13" spans="1:6" s="33" customFormat="1">
      <c r="B13" s="55" t="s">
        <v>80</v>
      </c>
      <c r="C13" s="38">
        <v>-4784</v>
      </c>
      <c r="D13" s="40">
        <v>-6188</v>
      </c>
      <c r="E13" s="40">
        <v>-9567</v>
      </c>
      <c r="F13" s="40">
        <v>-12680</v>
      </c>
    </row>
    <row r="14" spans="1:6" s="33" customFormat="1">
      <c r="B14" s="55" t="s">
        <v>81</v>
      </c>
      <c r="C14" s="38">
        <v>4558</v>
      </c>
      <c r="D14" s="40">
        <v>-406</v>
      </c>
      <c r="E14" s="40">
        <v>9157</v>
      </c>
      <c r="F14" s="40">
        <v>3508</v>
      </c>
    </row>
    <row r="15" spans="1:6" s="33" customFormat="1">
      <c r="B15" s="55" t="s">
        <v>82</v>
      </c>
      <c r="C15" s="38">
        <v>-1119</v>
      </c>
      <c r="D15" s="40">
        <v>-378</v>
      </c>
      <c r="E15" s="40">
        <v>-799</v>
      </c>
      <c r="F15" s="40">
        <v>-1185</v>
      </c>
    </row>
    <row r="16" spans="1:6" s="33" customFormat="1">
      <c r="B16" s="55" t="s">
        <v>83</v>
      </c>
      <c r="C16" s="38">
        <v>37</v>
      </c>
      <c r="D16" s="40">
        <v>45</v>
      </c>
      <c r="E16" s="40">
        <v>26</v>
      </c>
      <c r="F16" s="40">
        <v>189</v>
      </c>
    </row>
    <row r="17" spans="2:6" s="33" customFormat="1">
      <c r="B17" s="57" t="s">
        <v>84</v>
      </c>
      <c r="C17" s="40">
        <v>21317</v>
      </c>
      <c r="D17" s="40">
        <v>25149</v>
      </c>
      <c r="E17" s="40">
        <v>51178</v>
      </c>
      <c r="F17" s="40">
        <v>54977</v>
      </c>
    </row>
    <row r="18" spans="2:6" s="33" customFormat="1">
      <c r="B18" s="55" t="s">
        <v>85</v>
      </c>
      <c r="C18" s="38">
        <v>-4844</v>
      </c>
      <c r="D18" s="40">
        <v>-9388</v>
      </c>
      <c r="E18" s="40">
        <v>-13516</v>
      </c>
      <c r="F18" s="40">
        <v>-20030</v>
      </c>
    </row>
    <row r="19" spans="2:6" s="33" customFormat="1">
      <c r="B19" s="39" t="s">
        <v>86</v>
      </c>
      <c r="C19" s="96">
        <v>16473</v>
      </c>
      <c r="D19" s="96">
        <v>15762</v>
      </c>
      <c r="E19" s="96">
        <v>37662</v>
      </c>
      <c r="F19" s="96">
        <v>34947</v>
      </c>
    </row>
    <row r="20" spans="2:6" ht="18.95" customHeight="1">
      <c r="B20" s="41" t="s">
        <v>71</v>
      </c>
      <c r="C20" s="97">
        <v>13104</v>
      </c>
      <c r="D20" s="96">
        <v>14293</v>
      </c>
      <c r="E20" s="96">
        <v>31064</v>
      </c>
      <c r="F20" s="96">
        <v>32285</v>
      </c>
    </row>
    <row r="21" spans="2:6">
      <c r="B21" s="55" t="s">
        <v>87</v>
      </c>
      <c r="C21" s="38">
        <v>3368</v>
      </c>
      <c r="D21" s="40">
        <v>1468</v>
      </c>
      <c r="E21" s="40">
        <v>6598</v>
      </c>
      <c r="F21" s="40">
        <v>2662</v>
      </c>
    </row>
    <row r="22" spans="2:6">
      <c r="C22"/>
      <c r="D22" s="40"/>
    </row>
    <row r="23" spans="2:6">
      <c r="B23" s="42" t="s">
        <v>88</v>
      </c>
      <c r="C23"/>
      <c r="D23" s="173"/>
    </row>
    <row r="24" spans="2:6">
      <c r="B24" s="94" t="s">
        <v>89</v>
      </c>
      <c r="C24" s="38">
        <v>19341.106623578598</v>
      </c>
      <c r="D24" s="40">
        <v>25465</v>
      </c>
      <c r="E24" s="40">
        <v>38535.106623578598</v>
      </c>
      <c r="F24" s="40">
        <v>50931.497243641003</v>
      </c>
    </row>
    <row r="25" spans="2:6">
      <c r="B25" s="43" t="s">
        <v>90</v>
      </c>
      <c r="C25" s="96">
        <v>40465.511942684949</v>
      </c>
      <c r="D25" s="96">
        <v>56471</v>
      </c>
      <c r="E25" s="96">
        <v>82266.511942684941</v>
      </c>
      <c r="F25" s="96">
        <v>109625</v>
      </c>
    </row>
    <row r="26" spans="2:6">
      <c r="B26" s="95" t="s">
        <v>91</v>
      </c>
      <c r="C26" s="44">
        <v>0.32442757398909783</v>
      </c>
      <c r="D26" s="44">
        <v>0.39357787105183401</v>
      </c>
      <c r="E26" s="44">
        <v>0.32384443965202869</v>
      </c>
      <c r="F26" s="44">
        <v>0.37711476673065147</v>
      </c>
    </row>
    <row r="29" spans="2:6">
      <c r="B29"/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/>
  <sheetData/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9"/>
  <sheetViews>
    <sheetView workbookViewId="0">
      <selection activeCell="K20" sqref="K20"/>
    </sheetView>
  </sheetViews>
  <sheetFormatPr baseColWidth="10" defaultRowHeight="15"/>
  <cols>
    <col min="2" max="2" width="21.42578125" customWidth="1"/>
    <col min="5" max="5" width="34.42578125" hidden="1" customWidth="1"/>
    <col min="6" max="6" width="8.28515625" hidden="1" customWidth="1"/>
    <col min="7" max="7" width="12.28515625" customWidth="1"/>
    <col min="8" max="8" width="13.28515625" customWidth="1"/>
    <col min="9" max="10" width="13.5703125" customWidth="1"/>
    <col min="11" max="11" width="14.42578125" bestFit="1" customWidth="1"/>
    <col min="12" max="12" width="14.85546875" customWidth="1"/>
  </cols>
  <sheetData>
    <row r="3" spans="2:14">
      <c r="B3" s="14" t="s">
        <v>30</v>
      </c>
      <c r="C3" s="14"/>
      <c r="D3" s="15"/>
      <c r="E3" s="15"/>
      <c r="F3" s="15"/>
      <c r="G3" s="15"/>
      <c r="H3" s="15"/>
      <c r="I3" s="20"/>
      <c r="J3" s="20"/>
    </row>
    <row r="4" spans="2:14" ht="11.25" customHeight="1">
      <c r="B4" s="29"/>
      <c r="C4" s="29"/>
      <c r="D4" s="29"/>
      <c r="E4" s="29"/>
      <c r="F4" s="29"/>
      <c r="G4" s="29"/>
      <c r="H4" s="29"/>
      <c r="I4" s="29"/>
      <c r="J4" s="29"/>
    </row>
    <row r="5" spans="2:14" ht="30" customHeight="1">
      <c r="B5" s="188" t="s">
        <v>10</v>
      </c>
      <c r="C5" s="188" t="s">
        <v>220</v>
      </c>
      <c r="D5" s="188" t="s">
        <v>223</v>
      </c>
      <c r="E5" s="188"/>
      <c r="F5" s="188" t="s">
        <v>11</v>
      </c>
      <c r="G5" s="188" t="s">
        <v>33</v>
      </c>
      <c r="H5" s="188" t="s">
        <v>230</v>
      </c>
      <c r="I5" s="188" t="s">
        <v>247</v>
      </c>
      <c r="J5" s="188" t="s">
        <v>248</v>
      </c>
      <c r="K5" s="199" t="s">
        <v>233</v>
      </c>
      <c r="L5" s="189" t="s">
        <v>234</v>
      </c>
      <c r="M5" s="200" t="s">
        <v>235</v>
      </c>
      <c r="N5" s="200" t="s">
        <v>241</v>
      </c>
    </row>
    <row r="6" spans="2:14">
      <c r="B6" s="34" t="s">
        <v>19</v>
      </c>
      <c r="C6" s="34" t="s">
        <v>221</v>
      </c>
      <c r="D6" s="34" t="s">
        <v>34</v>
      </c>
      <c r="E6" s="34" t="s">
        <v>35</v>
      </c>
      <c r="F6" s="185">
        <v>1</v>
      </c>
      <c r="G6" s="187">
        <v>2030</v>
      </c>
      <c r="H6" s="187"/>
      <c r="I6" s="187"/>
      <c r="J6" s="187"/>
      <c r="K6" s="187">
        <v>2315283</v>
      </c>
      <c r="L6" s="34">
        <v>270186</v>
      </c>
      <c r="M6" s="183"/>
      <c r="N6" s="21"/>
    </row>
    <row r="7" spans="2:14">
      <c r="B7" s="34" t="s">
        <v>19</v>
      </c>
      <c r="C7" s="34" t="s">
        <v>225</v>
      </c>
      <c r="D7" s="34" t="s">
        <v>37</v>
      </c>
      <c r="E7" s="34" t="s">
        <v>38</v>
      </c>
      <c r="F7" s="185">
        <v>0.5</v>
      </c>
      <c r="G7" s="187">
        <v>2024</v>
      </c>
      <c r="H7" s="187" t="s">
        <v>231</v>
      </c>
      <c r="I7" s="187"/>
      <c r="J7" s="187"/>
      <c r="K7" s="187">
        <v>11909460</v>
      </c>
      <c r="L7" s="34">
        <v>1200829</v>
      </c>
      <c r="M7" s="183"/>
      <c r="N7" s="21"/>
    </row>
    <row r="8" spans="2:14">
      <c r="B8" s="34" t="s">
        <v>19</v>
      </c>
      <c r="C8" s="34" t="s">
        <v>226</v>
      </c>
      <c r="D8" s="34" t="s">
        <v>40</v>
      </c>
      <c r="E8" s="34" t="s">
        <v>41</v>
      </c>
      <c r="F8" s="185">
        <v>0.5</v>
      </c>
      <c r="G8" s="187">
        <v>2029</v>
      </c>
      <c r="H8" s="187"/>
      <c r="I8" s="187"/>
      <c r="J8" s="187"/>
      <c r="K8" s="187">
        <v>4319400</v>
      </c>
      <c r="L8" s="34">
        <v>369968</v>
      </c>
      <c r="M8" s="183"/>
      <c r="N8" s="21"/>
    </row>
    <row r="9" spans="2:14">
      <c r="B9" s="34" t="s">
        <v>19</v>
      </c>
      <c r="C9" s="34" t="s">
        <v>222</v>
      </c>
      <c r="D9" s="34" t="s">
        <v>42</v>
      </c>
      <c r="E9" s="34" t="s">
        <v>43</v>
      </c>
      <c r="F9" s="185">
        <v>0.35</v>
      </c>
      <c r="G9" s="187">
        <v>2033</v>
      </c>
      <c r="H9" s="187"/>
      <c r="I9" s="187"/>
      <c r="J9" s="187"/>
      <c r="K9" s="187">
        <v>2864485</v>
      </c>
      <c r="L9" s="34">
        <v>85408</v>
      </c>
      <c r="M9" s="183"/>
      <c r="N9" s="21"/>
    </row>
    <row r="10" spans="2:14">
      <c r="B10" s="34" t="s">
        <v>19</v>
      </c>
      <c r="C10" s="34" t="s">
        <v>45</v>
      </c>
      <c r="D10" s="34" t="s">
        <v>45</v>
      </c>
      <c r="E10" s="34" t="s">
        <v>46</v>
      </c>
      <c r="F10" s="185">
        <v>0.5</v>
      </c>
      <c r="G10" s="187" t="s">
        <v>48</v>
      </c>
      <c r="H10" s="187"/>
      <c r="I10" s="187"/>
      <c r="J10" s="187"/>
      <c r="K10" s="187">
        <v>1236022</v>
      </c>
      <c r="L10" s="34">
        <v>0</v>
      </c>
      <c r="M10" s="183"/>
      <c r="N10" s="21"/>
    </row>
    <row r="11" spans="2:14">
      <c r="B11" s="34" t="s">
        <v>22</v>
      </c>
      <c r="C11" s="34" t="s">
        <v>227</v>
      </c>
      <c r="D11" s="34" t="s">
        <v>49</v>
      </c>
      <c r="E11" s="34" t="s">
        <v>50</v>
      </c>
      <c r="F11" s="185">
        <v>1</v>
      </c>
      <c r="G11" s="187">
        <v>2071</v>
      </c>
      <c r="H11" s="187"/>
      <c r="I11" s="187"/>
      <c r="J11" s="187"/>
      <c r="K11" s="187">
        <v>6310863</v>
      </c>
      <c r="L11" s="34">
        <v>862084</v>
      </c>
      <c r="M11" s="183"/>
      <c r="N11" s="21"/>
    </row>
    <row r="12" spans="2:14">
      <c r="B12" s="34" t="s">
        <v>51</v>
      </c>
      <c r="C12" s="34" t="s">
        <v>228</v>
      </c>
      <c r="D12" s="34" t="s">
        <v>52</v>
      </c>
      <c r="E12" s="34" t="s">
        <v>53</v>
      </c>
      <c r="F12" s="185">
        <v>1</v>
      </c>
      <c r="G12" s="187">
        <v>2032</v>
      </c>
      <c r="H12" s="187" t="s">
        <v>236</v>
      </c>
      <c r="I12" s="187"/>
      <c r="J12" s="187"/>
      <c r="K12" s="187">
        <v>1041818.9</v>
      </c>
      <c r="L12" s="34">
        <v>50103</v>
      </c>
      <c r="M12" s="183"/>
      <c r="N12" s="21"/>
    </row>
    <row r="13" spans="2:14">
      <c r="B13" s="34" t="s">
        <v>56</v>
      </c>
      <c r="C13" s="34" t="s">
        <v>229</v>
      </c>
      <c r="D13" s="34" t="s">
        <v>57</v>
      </c>
      <c r="E13" s="34" t="s">
        <v>58</v>
      </c>
      <c r="F13" s="185">
        <v>0.33329999999999999</v>
      </c>
      <c r="G13" s="187" t="s">
        <v>48</v>
      </c>
      <c r="H13" s="187"/>
      <c r="I13" s="187"/>
      <c r="J13" s="187"/>
      <c r="K13" s="187">
        <v>423071</v>
      </c>
      <c r="L13" s="34">
        <v>0</v>
      </c>
      <c r="M13" s="183"/>
      <c r="N13" s="21"/>
    </row>
    <row r="14" spans="2:14">
      <c r="B14" s="34" t="s">
        <v>59</v>
      </c>
      <c r="C14" s="34" t="s">
        <v>224</v>
      </c>
      <c r="D14" s="34" t="s">
        <v>60</v>
      </c>
      <c r="E14" s="34" t="s">
        <v>61</v>
      </c>
      <c r="F14" s="185">
        <v>0.7</v>
      </c>
      <c r="G14" s="187">
        <v>2025</v>
      </c>
      <c r="H14" s="187" t="s">
        <v>232</v>
      </c>
      <c r="I14" s="187"/>
      <c r="J14" s="187"/>
      <c r="K14" s="187">
        <v>1673800</v>
      </c>
      <c r="L14" s="34">
        <v>264824</v>
      </c>
      <c r="M14" s="183"/>
      <c r="N14" s="21"/>
    </row>
    <row r="15" spans="2:14">
      <c r="B15" s="34" t="s">
        <v>24</v>
      </c>
      <c r="C15" s="34" t="s">
        <v>63</v>
      </c>
      <c r="D15" s="34" t="s">
        <v>63</v>
      </c>
      <c r="E15" s="34" t="s">
        <v>64</v>
      </c>
      <c r="F15" s="185">
        <v>0.51</v>
      </c>
      <c r="G15" s="187">
        <v>2026</v>
      </c>
      <c r="H15" s="187"/>
      <c r="I15" s="187"/>
      <c r="J15" s="187"/>
      <c r="K15" s="187">
        <v>5847117</v>
      </c>
      <c r="L15" s="34">
        <v>303771</v>
      </c>
      <c r="M15" s="183"/>
      <c r="N15" s="21"/>
    </row>
    <row r="16" spans="2:14">
      <c r="B16" s="183"/>
      <c r="C16" s="183"/>
      <c r="D16" s="184"/>
      <c r="E16" s="183"/>
      <c r="F16" s="183"/>
      <c r="G16" s="186"/>
      <c r="H16" s="183" t="s">
        <v>113</v>
      </c>
      <c r="K16" s="187">
        <f>+SUM(K6:K15)</f>
        <v>37941319.899999999</v>
      </c>
      <c r="L16" s="34">
        <f>+SUM(L6:L15)</f>
        <v>3407173</v>
      </c>
      <c r="M16" s="183"/>
    </row>
    <row r="18" spans="2:13">
      <c r="C18" s="67">
        <v>2017</v>
      </c>
      <c r="D18" s="67">
        <v>2018</v>
      </c>
      <c r="E18" s="67"/>
      <c r="F18" s="67"/>
      <c r="G18" s="67">
        <v>2019</v>
      </c>
      <c r="H18" s="190" t="s">
        <v>209</v>
      </c>
    </row>
    <row r="19" spans="2:13">
      <c r="B19" t="s">
        <v>169</v>
      </c>
      <c r="C19" s="34">
        <v>218369</v>
      </c>
      <c r="D19" s="34">
        <v>271601</v>
      </c>
      <c r="G19" s="34">
        <v>274115</v>
      </c>
      <c r="H19" s="34">
        <v>268193.48498115531</v>
      </c>
      <c r="I19" s="185">
        <f>+(H19-C19)/C19</f>
        <v>0.22816647500861073</v>
      </c>
    </row>
    <row r="20" spans="2:13">
      <c r="B20" t="s">
        <v>116</v>
      </c>
      <c r="C20" s="34">
        <v>38641</v>
      </c>
      <c r="D20" s="34">
        <v>55421</v>
      </c>
      <c r="G20" s="34">
        <v>64007</v>
      </c>
      <c r="H20" s="34">
        <v>63989.345945396912</v>
      </c>
      <c r="I20" s="185">
        <f t="shared" ref="I20:I22" si="0">+(H20-C20)/C20</f>
        <v>0.6559961166997984</v>
      </c>
    </row>
    <row r="21" spans="2:13">
      <c r="B21" t="s">
        <v>90</v>
      </c>
      <c r="C21" s="34">
        <v>68591.407663393707</v>
      </c>
      <c r="D21" s="34">
        <v>89888.981443945493</v>
      </c>
      <c r="G21" s="34">
        <v>104753.9740296324</v>
      </c>
      <c r="H21" s="34">
        <v>105062.47951007371</v>
      </c>
      <c r="I21" s="185">
        <f t="shared" si="0"/>
        <v>0.53171487638303871</v>
      </c>
    </row>
    <row r="22" spans="2:13">
      <c r="B22" t="s">
        <v>86</v>
      </c>
      <c r="C22" s="34">
        <v>23784</v>
      </c>
      <c r="D22" s="34">
        <v>31553</v>
      </c>
      <c r="G22" s="34">
        <v>36717</v>
      </c>
      <c r="H22" s="34">
        <v>34425</v>
      </c>
      <c r="I22" s="185">
        <f t="shared" si="0"/>
        <v>0.44740161453077698</v>
      </c>
    </row>
    <row r="24" spans="2:13">
      <c r="B24" s="67" t="s">
        <v>239</v>
      </c>
      <c r="C24" s="208" t="s">
        <v>169</v>
      </c>
      <c r="D24" s="208"/>
      <c r="E24" s="208" t="s">
        <v>169</v>
      </c>
      <c r="F24" s="208"/>
      <c r="G24" s="208" t="s">
        <v>237</v>
      </c>
      <c r="H24" s="208"/>
      <c r="I24" s="208" t="s">
        <v>90</v>
      </c>
      <c r="J24" s="208"/>
      <c r="K24" s="208"/>
      <c r="L24" s="208" t="s">
        <v>238</v>
      </c>
      <c r="M24" s="208"/>
    </row>
    <row r="25" spans="2:13">
      <c r="C25" s="181" t="s">
        <v>209</v>
      </c>
      <c r="D25" s="181">
        <v>2019</v>
      </c>
      <c r="E25" s="181" t="s">
        <v>209</v>
      </c>
      <c r="F25" s="181">
        <v>2020</v>
      </c>
      <c r="G25" s="181" t="s">
        <v>209</v>
      </c>
      <c r="H25" s="181">
        <v>2019</v>
      </c>
      <c r="I25" s="181" t="s">
        <v>209</v>
      </c>
      <c r="J25" s="181"/>
      <c r="K25" s="181">
        <v>2019</v>
      </c>
      <c r="L25" s="181" t="s">
        <v>209</v>
      </c>
      <c r="M25" s="181">
        <v>2019</v>
      </c>
    </row>
    <row r="26" spans="2:13">
      <c r="B26" s="178" t="s">
        <v>19</v>
      </c>
      <c r="C26" s="34">
        <v>45722</v>
      </c>
      <c r="D26" s="34">
        <v>46059</v>
      </c>
      <c r="H26" s="34">
        <v>144133.3432098577</v>
      </c>
      <c r="K26" s="34">
        <v>20856.083641395398</v>
      </c>
      <c r="M26" s="34">
        <v>48339.199910686548</v>
      </c>
    </row>
    <row r="27" spans="2:13" ht="30">
      <c r="B27" s="178" t="s">
        <v>213</v>
      </c>
      <c r="C27" s="34">
        <v>93077</v>
      </c>
      <c r="D27" s="34">
        <v>97758</v>
      </c>
      <c r="H27" s="34">
        <v>98402.793058862502</v>
      </c>
      <c r="K27" s="34">
        <v>35344.8391590795</v>
      </c>
      <c r="M27" s="34">
        <v>35575.737155791678</v>
      </c>
    </row>
    <row r="28" spans="2:13">
      <c r="B28" s="178" t="s">
        <v>214</v>
      </c>
      <c r="C28" s="34">
        <v>62712</v>
      </c>
      <c r="D28" s="34">
        <v>63828</v>
      </c>
      <c r="H28" s="34">
        <v>32553.347894558996</v>
      </c>
      <c r="K28" s="34">
        <v>29705.299940256798</v>
      </c>
      <c r="M28" s="34">
        <v>15149.702969530967</v>
      </c>
    </row>
    <row r="29" spans="2:13">
      <c r="B29" s="178" t="s">
        <v>215</v>
      </c>
      <c r="C29" s="34">
        <v>66634</v>
      </c>
      <c r="D29" s="34">
        <v>66435</v>
      </c>
      <c r="H29" s="34">
        <v>51840.636469638295</v>
      </c>
      <c r="K29" s="34">
        <v>19671.807358722403</v>
      </c>
      <c r="M29" s="34">
        <v>15864.32891271325</v>
      </c>
    </row>
    <row r="30" spans="2:13">
      <c r="B30" s="191" t="s">
        <v>113</v>
      </c>
      <c r="C30" s="112">
        <f t="shared" ref="C30:L30" si="1">+C26+C27+C28+C29</f>
        <v>268145</v>
      </c>
      <c r="D30" s="112">
        <f t="shared" si="1"/>
        <v>274080</v>
      </c>
      <c r="E30" s="112">
        <f t="shared" si="1"/>
        <v>0</v>
      </c>
      <c r="F30" s="112">
        <f t="shared" si="1"/>
        <v>0</v>
      </c>
      <c r="G30" s="112">
        <f t="shared" si="1"/>
        <v>0</v>
      </c>
      <c r="H30" s="112">
        <f t="shared" si="1"/>
        <v>326930.1206329175</v>
      </c>
      <c r="I30" s="112">
        <f t="shared" si="1"/>
        <v>0</v>
      </c>
      <c r="J30" s="112"/>
      <c r="K30" s="112">
        <f t="shared" si="1"/>
        <v>105578.0300994541</v>
      </c>
      <c r="L30" s="112">
        <f t="shared" si="1"/>
        <v>0</v>
      </c>
      <c r="M30" s="112">
        <f>+M26+M27+M28+M29</f>
        <v>114928.96894872242</v>
      </c>
    </row>
    <row r="34" spans="2:14">
      <c r="C34" s="67">
        <v>2017</v>
      </c>
      <c r="D34" s="67">
        <v>2018</v>
      </c>
      <c r="E34" s="67"/>
      <c r="F34" s="67"/>
      <c r="G34" s="67">
        <v>2019</v>
      </c>
      <c r="H34" s="190" t="s">
        <v>245</v>
      </c>
      <c r="K34" s="67">
        <v>2017</v>
      </c>
      <c r="L34" s="67">
        <v>2018</v>
      </c>
      <c r="M34" s="67">
        <v>2019</v>
      </c>
      <c r="N34" s="190" t="s">
        <v>245</v>
      </c>
    </row>
    <row r="35" spans="2:14">
      <c r="B35" t="s">
        <v>169</v>
      </c>
      <c r="C35" s="196">
        <f>+C19/1000</f>
        <v>218.369</v>
      </c>
      <c r="D35" s="196">
        <f t="shared" ref="D35:H35" si="2">+D19/1000</f>
        <v>271.601</v>
      </c>
      <c r="E35" s="196">
        <f t="shared" si="2"/>
        <v>0</v>
      </c>
      <c r="F35" s="196">
        <f t="shared" si="2"/>
        <v>0</v>
      </c>
      <c r="G35" s="196">
        <f>+G19/1000</f>
        <v>274.11500000000001</v>
      </c>
      <c r="H35" s="196">
        <f t="shared" si="2"/>
        <v>268.19348498115534</v>
      </c>
      <c r="J35" t="s">
        <v>90</v>
      </c>
      <c r="K35" s="196">
        <f>+C21/1000</f>
        <v>68.59140766339371</v>
      </c>
      <c r="L35" s="196">
        <f t="shared" ref="L35" si="3">+D21/1000</f>
        <v>89.888981443945497</v>
      </c>
      <c r="M35" s="196">
        <f>+G21/1000</f>
        <v>104.7539740296324</v>
      </c>
      <c r="N35" s="196">
        <f>+H21/1000</f>
        <v>105.06247951007371</v>
      </c>
    </row>
    <row r="36" spans="2:14">
      <c r="J36" t="s">
        <v>250</v>
      </c>
      <c r="K36" s="185">
        <f>+K35/C35</f>
        <v>0.3141078068013029</v>
      </c>
      <c r="L36" s="185">
        <f>+L35/D35</f>
        <v>0.33095968514087026</v>
      </c>
      <c r="M36" s="185">
        <f>+M35/G35</f>
        <v>0.38215338098838952</v>
      </c>
      <c r="N36" s="185">
        <f>+N35/H35</f>
        <v>0.39174135612375499</v>
      </c>
    </row>
    <row r="53" spans="2:10">
      <c r="B53" t="s">
        <v>119</v>
      </c>
    </row>
    <row r="54" spans="2:10">
      <c r="C54" s="67">
        <v>2017</v>
      </c>
      <c r="D54" s="67">
        <v>2018</v>
      </c>
      <c r="E54" s="67"/>
      <c r="F54" s="67"/>
      <c r="G54" s="67">
        <v>2019</v>
      </c>
      <c r="H54" s="190" t="s">
        <v>245</v>
      </c>
      <c r="I54" s="190" t="s">
        <v>160</v>
      </c>
      <c r="J54" s="190" t="s">
        <v>164</v>
      </c>
    </row>
    <row r="55" spans="2:10">
      <c r="B55" t="s">
        <v>252</v>
      </c>
      <c r="C55" s="34">
        <f>+'[3]Volúmenes Terminales Portuarios'!$G$4</f>
        <v>15029864.481999999</v>
      </c>
      <c r="D55" s="34">
        <f>+'[4]volumenes '!$D$15</f>
        <v>17745610.319999997</v>
      </c>
      <c r="G55" s="34">
        <f>+'[4]volumenes '!$H$31</f>
        <v>17188881.506606501</v>
      </c>
      <c r="H55" s="34">
        <f>+G55-I55+J55</f>
        <v>17267497.284264401</v>
      </c>
      <c r="I55" s="34">
        <f>+[1]Puertos!$E$71</f>
        <v>4133715.8306100001</v>
      </c>
      <c r="J55" s="34">
        <f>+[1]Puertos!$D$71</f>
        <v>4212331.6082678996</v>
      </c>
    </row>
    <row r="56" spans="2:10">
      <c r="B56" t="s">
        <v>253</v>
      </c>
      <c r="C56" s="34">
        <f>+'[3]Volúmenes Terminales Portuarios'!$G$13</f>
        <v>20031990.749768559</v>
      </c>
      <c r="D56" s="34">
        <f>+'[4]volumenes '!$D$16</f>
        <v>21718256.359999999</v>
      </c>
      <c r="G56" s="34">
        <f>+'[4]volumenes '!$H$32</f>
        <v>20752927.960636798</v>
      </c>
      <c r="H56" s="34">
        <f t="shared" ref="H56" si="4">+G56-I56+J56</f>
        <v>19675281.842636798</v>
      </c>
      <c r="I56" s="34">
        <f>+[1]Puertos!$E$72</f>
        <v>5579783.2140000006</v>
      </c>
      <c r="J56" s="34">
        <f>+[1]Puertos!$D$72</f>
        <v>4502137.0959999999</v>
      </c>
    </row>
    <row r="57" spans="2:10">
      <c r="C57" s="34"/>
      <c r="D57" s="34"/>
      <c r="G57" s="34"/>
      <c r="H57" s="34"/>
      <c r="I57" s="34"/>
      <c r="J57" s="34"/>
    </row>
    <row r="58" spans="2:10">
      <c r="C58" s="67">
        <v>2017</v>
      </c>
      <c r="D58" s="67">
        <v>2018</v>
      </c>
      <c r="E58" s="67"/>
      <c r="F58" s="67"/>
      <c r="G58" s="67">
        <v>2019</v>
      </c>
      <c r="H58" s="190" t="s">
        <v>245</v>
      </c>
      <c r="I58" s="190" t="s">
        <v>160</v>
      </c>
      <c r="J58" s="190" t="s">
        <v>164</v>
      </c>
    </row>
    <row r="59" spans="2:10">
      <c r="B59" t="s">
        <v>252</v>
      </c>
      <c r="C59" s="34">
        <f>+C55/1000</f>
        <v>15029.864481999999</v>
      </c>
      <c r="D59" s="34">
        <f t="shared" ref="D59:J59" si="5">+D55/1000</f>
        <v>17745.610319999996</v>
      </c>
      <c r="E59" s="34">
        <f t="shared" si="5"/>
        <v>0</v>
      </c>
      <c r="F59" s="34">
        <f t="shared" si="5"/>
        <v>0</v>
      </c>
      <c r="G59" s="34">
        <f t="shared" si="5"/>
        <v>17188.8815066065</v>
      </c>
      <c r="H59" s="34">
        <f t="shared" si="5"/>
        <v>17267.497284264402</v>
      </c>
      <c r="I59" s="34">
        <f t="shared" si="5"/>
        <v>4133.71583061</v>
      </c>
      <c r="J59" s="34">
        <f t="shared" si="5"/>
        <v>4212.3316082678994</v>
      </c>
    </row>
    <row r="60" spans="2:10">
      <c r="B60" t="s">
        <v>253</v>
      </c>
      <c r="C60" s="34">
        <f>+C56/1000</f>
        <v>20031.99074976856</v>
      </c>
      <c r="D60" s="34">
        <f t="shared" ref="D60:J60" si="6">+D56/1000</f>
        <v>21718.256359999999</v>
      </c>
      <c r="E60" s="34">
        <f t="shared" si="6"/>
        <v>0</v>
      </c>
      <c r="F60" s="34">
        <f t="shared" si="6"/>
        <v>0</v>
      </c>
      <c r="G60" s="34">
        <f t="shared" si="6"/>
        <v>20752.9279606368</v>
      </c>
      <c r="H60" s="34">
        <f t="shared" si="6"/>
        <v>19675.281842636796</v>
      </c>
      <c r="I60" s="34">
        <f t="shared" si="6"/>
        <v>5579.783214000001</v>
      </c>
      <c r="J60" s="34">
        <f t="shared" si="6"/>
        <v>4502.1370959999995</v>
      </c>
    </row>
    <row r="61" spans="2:10">
      <c r="C61" s="34">
        <f>+C59+C60</f>
        <v>35061.855231768561</v>
      </c>
      <c r="D61" s="34">
        <f t="shared" ref="D61:H61" si="7">+D59+D60</f>
        <v>39463.866679999992</v>
      </c>
      <c r="E61" s="34">
        <f t="shared" si="7"/>
        <v>0</v>
      </c>
      <c r="F61" s="34">
        <f t="shared" si="7"/>
        <v>0</v>
      </c>
      <c r="G61" s="34">
        <f t="shared" si="7"/>
        <v>37941.8094672433</v>
      </c>
      <c r="H61" s="34">
        <f t="shared" si="7"/>
        <v>36942.779126901194</v>
      </c>
    </row>
    <row r="62" spans="2:10">
      <c r="B62" t="s">
        <v>251</v>
      </c>
      <c r="C62" s="67">
        <v>2017</v>
      </c>
      <c r="D62" s="67">
        <v>2018</v>
      </c>
      <c r="E62" s="67"/>
      <c r="F62" s="67"/>
      <c r="G62" s="67">
        <v>2019</v>
      </c>
      <c r="H62" s="190" t="s">
        <v>245</v>
      </c>
      <c r="I62" s="190" t="s">
        <v>160</v>
      </c>
      <c r="J62" s="190" t="s">
        <v>164</v>
      </c>
    </row>
    <row r="63" spans="2:10">
      <c r="B63" t="s">
        <v>252</v>
      </c>
      <c r="C63" s="34">
        <f>+'[3]Volúmenes Terminales Portuarios'!$G$26</f>
        <v>1374571.0999999999</v>
      </c>
      <c r="D63" s="34">
        <f>+'[4]volumenes '!$F$15</f>
        <v>1728803</v>
      </c>
      <c r="G63" s="34">
        <f>+'[4]volumenes '!$G$15</f>
        <v>1755836</v>
      </c>
      <c r="H63" s="34">
        <f>+G63-I63+J63</f>
        <v>1701385</v>
      </c>
      <c r="I63" s="34">
        <f>+[1]Puertos!$I$71</f>
        <v>453572</v>
      </c>
      <c r="J63" s="34">
        <f>+[1]Puertos!$H$71</f>
        <v>399121</v>
      </c>
    </row>
    <row r="64" spans="2:10">
      <c r="B64" t="s">
        <v>253</v>
      </c>
      <c r="C64" s="34">
        <f>+'[3]Volúmenes Terminales Portuarios'!$G$35</f>
        <v>1640851</v>
      </c>
      <c r="D64" s="34">
        <f>+'[4]volumenes '!$F$16</f>
        <v>1708855</v>
      </c>
      <c r="G64" s="34">
        <f>+'[4]volumenes '!$G$16</f>
        <v>1656215</v>
      </c>
      <c r="H64" s="34">
        <f>+G64-I64+J64</f>
        <v>1547957</v>
      </c>
      <c r="I64" s="34">
        <f>+[1]Puertos!$I$72</f>
        <v>470637</v>
      </c>
      <c r="J64" s="34">
        <f>+[1]Puertos!$H$72</f>
        <v>362379</v>
      </c>
    </row>
    <row r="66" spans="2:10">
      <c r="C66" s="67">
        <v>2017</v>
      </c>
      <c r="D66" s="67">
        <v>2018</v>
      </c>
      <c r="E66" s="67"/>
      <c r="F66" s="67"/>
      <c r="G66" s="67">
        <v>2019</v>
      </c>
      <c r="H66" s="190" t="s">
        <v>245</v>
      </c>
      <c r="I66" s="190" t="s">
        <v>160</v>
      </c>
      <c r="J66" s="190" t="s">
        <v>164</v>
      </c>
    </row>
    <row r="67" spans="2:10">
      <c r="B67" t="s">
        <v>252</v>
      </c>
      <c r="C67" s="34">
        <f>+C63/1000</f>
        <v>1374.5710999999999</v>
      </c>
      <c r="D67" s="34">
        <f t="shared" ref="D67:J67" si="8">+D63/1000</f>
        <v>1728.8030000000001</v>
      </c>
      <c r="E67" s="34">
        <f t="shared" si="8"/>
        <v>0</v>
      </c>
      <c r="F67" s="34">
        <f t="shared" si="8"/>
        <v>0</v>
      </c>
      <c r="G67" s="34">
        <f t="shared" si="8"/>
        <v>1755.836</v>
      </c>
      <c r="H67" s="34">
        <f t="shared" si="8"/>
        <v>1701.385</v>
      </c>
      <c r="I67">
        <f t="shared" si="8"/>
        <v>453.572</v>
      </c>
      <c r="J67">
        <f t="shared" si="8"/>
        <v>399.12099999999998</v>
      </c>
    </row>
    <row r="68" spans="2:10">
      <c r="B68" t="s">
        <v>253</v>
      </c>
      <c r="C68" s="34">
        <f>+C64/1000</f>
        <v>1640.8510000000001</v>
      </c>
      <c r="D68" s="34">
        <f t="shared" ref="D68:J68" si="9">+D64/1000</f>
        <v>1708.855</v>
      </c>
      <c r="E68" s="34">
        <f t="shared" si="9"/>
        <v>0</v>
      </c>
      <c r="F68" s="34">
        <f t="shared" si="9"/>
        <v>0</v>
      </c>
      <c r="G68" s="34">
        <f t="shared" si="9"/>
        <v>1656.2149999999999</v>
      </c>
      <c r="H68" s="34">
        <f t="shared" si="9"/>
        <v>1547.9570000000001</v>
      </c>
      <c r="I68">
        <f t="shared" si="9"/>
        <v>470.637</v>
      </c>
      <c r="J68">
        <f t="shared" si="9"/>
        <v>362.37900000000002</v>
      </c>
    </row>
    <row r="69" spans="2:10">
      <c r="C69" s="34">
        <f>+C67+C68</f>
        <v>3015.4220999999998</v>
      </c>
      <c r="D69" s="34">
        <f t="shared" ref="D69:H69" si="10">+D67+D68</f>
        <v>3437.6580000000004</v>
      </c>
      <c r="E69" s="34">
        <f t="shared" si="10"/>
        <v>0</v>
      </c>
      <c r="F69" s="34">
        <f t="shared" si="10"/>
        <v>0</v>
      </c>
      <c r="G69" s="34">
        <f t="shared" si="10"/>
        <v>3412.0509999999999</v>
      </c>
      <c r="H69" s="34">
        <f t="shared" si="10"/>
        <v>3249.3420000000001</v>
      </c>
    </row>
  </sheetData>
  <mergeCells count="5">
    <mergeCell ref="C24:D24"/>
    <mergeCell ref="I24:K24"/>
    <mergeCell ref="E24:F24"/>
    <mergeCell ref="G24:H24"/>
    <mergeCell ref="L24:M24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K20" sqref="K20"/>
    </sheetView>
  </sheetViews>
  <sheetFormatPr baseColWidth="10" defaultRowHeight="15"/>
  <cols>
    <col min="2" max="2" width="23.42578125" customWidth="1"/>
  </cols>
  <sheetData>
    <row r="3" spans="2:12">
      <c r="C3" s="67">
        <v>2017</v>
      </c>
      <c r="D3" s="67">
        <v>2018</v>
      </c>
      <c r="E3" s="67">
        <v>2019</v>
      </c>
      <c r="F3" s="190" t="s">
        <v>209</v>
      </c>
      <c r="I3" s="67">
        <v>2017</v>
      </c>
      <c r="J3" s="67">
        <v>2018</v>
      </c>
      <c r="K3" s="67">
        <v>2019</v>
      </c>
      <c r="L3" s="190" t="s">
        <v>245</v>
      </c>
    </row>
    <row r="4" spans="2:12">
      <c r="B4" t="s">
        <v>169</v>
      </c>
      <c r="C4" s="34">
        <f>+[5]Logística!$H$6</f>
        <v>69256</v>
      </c>
      <c r="D4" s="34">
        <f>+[5]Logística!$M$6</f>
        <v>58735</v>
      </c>
      <c r="E4" s="34">
        <f>+[1]NOTA6!$BT$25</f>
        <v>51334</v>
      </c>
      <c r="F4" s="195" t="e">
        <f>+E4-Logística!#REF!+[1]NOTA6!$V$5</f>
        <v>#REF!</v>
      </c>
      <c r="G4" s="185" t="e">
        <f>+(F4-C4)/C4</f>
        <v>#REF!</v>
      </c>
      <c r="H4" t="s">
        <v>169</v>
      </c>
      <c r="I4" s="34">
        <f>+C4/1000</f>
        <v>69.256</v>
      </c>
      <c r="J4" s="34">
        <f t="shared" ref="J4:L4" si="0">+D4/1000</f>
        <v>58.734999999999999</v>
      </c>
      <c r="K4" s="34">
        <f t="shared" si="0"/>
        <v>51.334000000000003</v>
      </c>
      <c r="L4" s="34" t="e">
        <f t="shared" si="0"/>
        <v>#REF!</v>
      </c>
    </row>
    <row r="5" spans="2:12">
      <c r="B5" t="s">
        <v>116</v>
      </c>
      <c r="C5" s="34">
        <f>+[5]Logística!$H$10</f>
        <v>-2196</v>
      </c>
      <c r="D5" s="34" t="e">
        <f>+Logística!#REF!</f>
        <v>#REF!</v>
      </c>
      <c r="E5" s="34" t="e">
        <f>+Logística!#REF!</f>
        <v>#REF!</v>
      </c>
      <c r="F5" s="34" t="e">
        <f>+E5-Logística!#REF!+[1]Logistica!$C$13</f>
        <v>#REF!</v>
      </c>
      <c r="G5" s="185" t="e">
        <f t="shared" ref="G5:G6" si="1">+(F5-C5)/C5</f>
        <v>#REF!</v>
      </c>
    </row>
    <row r="6" spans="2:12">
      <c r="B6" t="s">
        <v>90</v>
      </c>
      <c r="C6" s="34">
        <f>+[5]Logística!$H$11</f>
        <v>3444.8556799997996</v>
      </c>
      <c r="D6" s="34" t="e">
        <f>+Logística!#REF!</f>
        <v>#REF!</v>
      </c>
      <c r="E6" s="34" t="e">
        <f>+Logística!#REF!</f>
        <v>#REF!</v>
      </c>
      <c r="F6" s="34" t="e">
        <f>+E6-Logística!#REF!+[1]Logistica!$C$15</f>
        <v>#REF!</v>
      </c>
      <c r="G6" s="185" t="e">
        <f t="shared" si="1"/>
        <v>#REF!</v>
      </c>
      <c r="I6" s="67">
        <v>2017</v>
      </c>
      <c r="J6" s="67">
        <v>2018</v>
      </c>
      <c r="K6" s="67">
        <v>2019</v>
      </c>
      <c r="L6" s="190" t="s">
        <v>245</v>
      </c>
    </row>
    <row r="7" spans="2:12">
      <c r="B7" t="s">
        <v>86</v>
      </c>
      <c r="C7" s="34">
        <f>+[5]Logística!$H$15</f>
        <v>3778</v>
      </c>
      <c r="H7" t="s">
        <v>90</v>
      </c>
      <c r="I7" s="34">
        <f>+C6/1000</f>
        <v>3.4448556799997996</v>
      </c>
      <c r="J7" s="34" t="e">
        <f t="shared" ref="J7:L7" si="2">+D6/1000</f>
        <v>#REF!</v>
      </c>
      <c r="K7" s="34" t="e">
        <f t="shared" si="2"/>
        <v>#REF!</v>
      </c>
      <c r="L7" s="34" t="e">
        <f t="shared" si="2"/>
        <v>#REF!</v>
      </c>
    </row>
    <row r="8" spans="2:12">
      <c r="B8" t="s">
        <v>242</v>
      </c>
      <c r="C8" s="34"/>
      <c r="H8" t="s">
        <v>250</v>
      </c>
      <c r="I8" s="185">
        <f>+I7/I4</f>
        <v>4.9740898694695036E-2</v>
      </c>
      <c r="J8" s="185" t="e">
        <f t="shared" ref="J8:L8" si="3">+J7/J4</f>
        <v>#REF!</v>
      </c>
      <c r="K8" s="185" t="e">
        <f t="shared" si="3"/>
        <v>#REF!</v>
      </c>
      <c r="L8" s="185" t="e">
        <f t="shared" si="3"/>
        <v>#REF!</v>
      </c>
    </row>
    <row r="9" spans="2:12">
      <c r="C9" s="34"/>
    </row>
    <row r="11" spans="2:12">
      <c r="C11" s="208" t="s">
        <v>169</v>
      </c>
      <c r="D11" s="208"/>
      <c r="E11" s="208" t="s">
        <v>169</v>
      </c>
      <c r="F11" s="208"/>
      <c r="G11" s="208" t="s">
        <v>237</v>
      </c>
      <c r="H11" s="208"/>
      <c r="I11" s="208" t="s">
        <v>90</v>
      </c>
      <c r="J11" s="208"/>
      <c r="K11" s="208" t="s">
        <v>238</v>
      </c>
      <c r="L11" s="208"/>
    </row>
    <row r="12" spans="2:12">
      <c r="B12" s="67" t="s">
        <v>239</v>
      </c>
      <c r="C12" s="181" t="s">
        <v>209</v>
      </c>
      <c r="D12" s="181">
        <v>2019</v>
      </c>
      <c r="E12" s="181" t="s">
        <v>209</v>
      </c>
      <c r="F12" s="181">
        <v>2020</v>
      </c>
      <c r="G12" s="181" t="s">
        <v>209</v>
      </c>
      <c r="H12" s="181">
        <v>2019</v>
      </c>
      <c r="I12" s="181" t="s">
        <v>209</v>
      </c>
      <c r="J12" s="181">
        <v>2019</v>
      </c>
      <c r="K12" s="181" t="s">
        <v>209</v>
      </c>
      <c r="L12" s="181">
        <v>2019</v>
      </c>
    </row>
    <row r="13" spans="2:12">
      <c r="B13" s="178" t="s">
        <v>19</v>
      </c>
    </row>
    <row r="14" spans="2:12">
      <c r="B14" s="178" t="s">
        <v>213</v>
      </c>
    </row>
    <row r="15" spans="2:12">
      <c r="B15" s="178" t="s">
        <v>214</v>
      </c>
    </row>
    <row r="16" spans="2:12">
      <c r="B16" s="178" t="s">
        <v>215</v>
      </c>
    </row>
    <row r="17" spans="2:2">
      <c r="B17" s="191" t="s">
        <v>113</v>
      </c>
    </row>
  </sheetData>
  <mergeCells count="5">
    <mergeCell ref="C11:D11"/>
    <mergeCell ref="E11:F11"/>
    <mergeCell ref="G11:H11"/>
    <mergeCell ref="I11:J11"/>
    <mergeCell ref="K11:L11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topLeftCell="B1" zoomScale="110" zoomScaleNormal="11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K9" sqref="K9"/>
    </sheetView>
  </sheetViews>
  <sheetFormatPr baseColWidth="10" defaultRowHeight="15"/>
  <cols>
    <col min="1" max="1" width="5.7109375" customWidth="1"/>
    <col min="2" max="2" width="40" customWidth="1"/>
  </cols>
  <sheetData>
    <row r="1" spans="2:6">
      <c r="B1" s="30" t="s">
        <v>2</v>
      </c>
    </row>
    <row r="3" spans="2:6">
      <c r="B3" s="59" t="s">
        <v>151</v>
      </c>
      <c r="C3" s="115" t="s">
        <v>161</v>
      </c>
      <c r="D3" s="115" t="s">
        <v>254</v>
      </c>
      <c r="E3" s="192" t="s">
        <v>257</v>
      </c>
      <c r="F3" s="192" t="s">
        <v>258</v>
      </c>
    </row>
    <row r="4" spans="2:6">
      <c r="B4" s="65" t="s">
        <v>114</v>
      </c>
      <c r="C4" s="66">
        <v>47215.923280000003</v>
      </c>
      <c r="D4" s="66">
        <v>69628.574059999999</v>
      </c>
      <c r="E4" s="66">
        <v>93676.923280000003</v>
      </c>
      <c r="F4" s="66">
        <v>140818</v>
      </c>
    </row>
    <row r="5" spans="2:6">
      <c r="B5" s="28" t="s">
        <v>74</v>
      </c>
      <c r="C5" s="93">
        <v>-32424.10269049037</v>
      </c>
      <c r="D5" s="93">
        <v>-41537.941776392407</v>
      </c>
      <c r="E5" s="93">
        <v>-63377.10269049037</v>
      </c>
      <c r="F5" s="93">
        <v>-89307</v>
      </c>
    </row>
    <row r="6" spans="2:6">
      <c r="B6" s="72" t="s">
        <v>115</v>
      </c>
      <c r="C6" s="99">
        <v>14791.820589509633</v>
      </c>
      <c r="D6" s="99">
        <v>28090.632283607592</v>
      </c>
      <c r="E6" s="99">
        <v>30299.820589509633</v>
      </c>
      <c r="F6" s="99">
        <v>51511</v>
      </c>
    </row>
    <row r="7" spans="2:6">
      <c r="B7" s="28" t="s">
        <v>76</v>
      </c>
      <c r="C7" s="93">
        <v>-5061</v>
      </c>
      <c r="D7" s="93">
        <v>-9490.7359560830009</v>
      </c>
      <c r="E7" s="93">
        <v>-10271</v>
      </c>
      <c r="F7" s="93">
        <v>-17663</v>
      </c>
    </row>
    <row r="8" spans="2:6">
      <c r="B8" s="65" t="s">
        <v>116</v>
      </c>
      <c r="C8" s="100">
        <v>9730.8205895096326</v>
      </c>
      <c r="D8" s="100">
        <v>18599.896327524591</v>
      </c>
      <c r="E8" s="100">
        <v>20028.820589509633</v>
      </c>
      <c r="F8" s="100">
        <v>33848</v>
      </c>
    </row>
    <row r="9" spans="2:6">
      <c r="B9" s="72" t="s">
        <v>90</v>
      </c>
      <c r="C9" s="117">
        <v>17356.533593333334</v>
      </c>
      <c r="D9" s="117">
        <v>32135.007793885998</v>
      </c>
      <c r="E9" s="117">
        <v>35233.533593333334</v>
      </c>
      <c r="F9" s="117">
        <v>61023.861239969003</v>
      </c>
    </row>
    <row r="10" spans="2:6">
      <c r="B10" s="28" t="s">
        <v>117</v>
      </c>
      <c r="C10" s="102">
        <v>7625.713003823701</v>
      </c>
      <c r="D10" s="102">
        <v>13535.111466361399</v>
      </c>
      <c r="E10" s="102">
        <v>15204.713003823701</v>
      </c>
      <c r="F10" s="102">
        <v>27175.861239968999</v>
      </c>
    </row>
    <row r="11" spans="2:6">
      <c r="B11" s="28" t="s">
        <v>118</v>
      </c>
      <c r="C11" s="101">
        <f t="shared" ref="C11:D11" si="0">+C9/C4</f>
        <v>0.36759915697095591</v>
      </c>
      <c r="D11" s="101">
        <f t="shared" si="0"/>
        <v>0.46152040635206421</v>
      </c>
      <c r="E11" s="101">
        <f>+E9/E4</f>
        <v>0.3761175363116957</v>
      </c>
      <c r="F11" s="101">
        <f>+F9/F4</f>
        <v>0.43335270519371816</v>
      </c>
    </row>
    <row r="12" spans="2:6">
      <c r="B12" s="118" t="s">
        <v>163</v>
      </c>
      <c r="C12" s="93">
        <v>1610.8433614320002</v>
      </c>
      <c r="D12" s="93">
        <v>-160.58191999999997</v>
      </c>
      <c r="E12" s="93">
        <v>2748.8433614320002</v>
      </c>
      <c r="F12" s="93">
        <v>218</v>
      </c>
    </row>
    <row r="13" spans="2:6">
      <c r="B13" s="119" t="s">
        <v>71</v>
      </c>
      <c r="C13" s="120">
        <v>5550.121434339635</v>
      </c>
      <c r="D13" s="120">
        <v>9683</v>
      </c>
      <c r="E13" s="120">
        <v>12480.121434339635</v>
      </c>
      <c r="F13" s="120">
        <v>16281</v>
      </c>
    </row>
    <row r="14" spans="2:6">
      <c r="B14" s="118" t="s">
        <v>87</v>
      </c>
      <c r="C14" s="93">
        <v>1989.1632865033998</v>
      </c>
      <c r="D14" s="93">
        <v>150</v>
      </c>
      <c r="E14" s="93">
        <v>4345.1632865033998</v>
      </c>
      <c r="F14" s="93">
        <v>313</v>
      </c>
    </row>
    <row r="15" spans="2:6">
      <c r="B15" s="68" t="s">
        <v>152</v>
      </c>
      <c r="C15" s="69"/>
    </row>
    <row r="16" spans="2:6">
      <c r="B16" s="68"/>
    </row>
    <row r="17" spans="2:6">
      <c r="B17" s="68"/>
      <c r="C17" s="69"/>
    </row>
    <row r="18" spans="2:6">
      <c r="B18" s="68"/>
      <c r="C18" s="107"/>
    </row>
    <row r="19" spans="2:6">
      <c r="B19" s="59" t="s">
        <v>153</v>
      </c>
      <c r="C19" s="82" t="s">
        <v>161</v>
      </c>
      <c r="D19" s="82" t="s">
        <v>254</v>
      </c>
      <c r="E19" s="82" t="s">
        <v>257</v>
      </c>
      <c r="F19" s="82" t="s">
        <v>258</v>
      </c>
    </row>
    <row r="20" spans="2:6" ht="6.75" customHeight="1"/>
    <row r="21" spans="2:6">
      <c r="B21" s="65" t="s">
        <v>114</v>
      </c>
      <c r="C21" s="66">
        <v>33382.918946796701</v>
      </c>
      <c r="D21" s="66">
        <v>5343.8993026745002</v>
      </c>
      <c r="E21" s="66">
        <v>65023.269308082599</v>
      </c>
      <c r="F21" s="66">
        <v>12601.079816314901</v>
      </c>
    </row>
    <row r="22" spans="2:6">
      <c r="B22" s="28" t="s">
        <v>74</v>
      </c>
      <c r="C22" s="102">
        <v>-22254.681255250398</v>
      </c>
      <c r="D22" s="63">
        <v>-4420.8590427011004</v>
      </c>
      <c r="E22" s="63">
        <v>-44396.278703238597</v>
      </c>
      <c r="F22" s="63">
        <v>-9635.7868863690019</v>
      </c>
    </row>
    <row r="23" spans="2:6">
      <c r="B23" s="72" t="s">
        <v>115</v>
      </c>
      <c r="C23" s="99">
        <v>11128.237691546303</v>
      </c>
      <c r="D23" s="99">
        <v>923.04025997339977</v>
      </c>
      <c r="E23" s="99">
        <v>20626.990604844006</v>
      </c>
      <c r="F23" s="99">
        <v>2965.2929299458992</v>
      </c>
    </row>
    <row r="24" spans="2:6">
      <c r="B24" s="28" t="s">
        <v>76</v>
      </c>
      <c r="C24" s="102">
        <v>-4345.8849940789987</v>
      </c>
      <c r="D24" s="102">
        <v>-1123.6119529790999</v>
      </c>
      <c r="E24" s="102">
        <v>-8536.3369939435979</v>
      </c>
      <c r="F24" s="102">
        <v>-2431.3877407771997</v>
      </c>
    </row>
    <row r="25" spans="2:6">
      <c r="B25" s="72" t="s">
        <v>116</v>
      </c>
      <c r="C25" s="99">
        <v>6782.3526974673041</v>
      </c>
      <c r="D25" s="99">
        <v>-200.57169300570013</v>
      </c>
      <c r="E25" s="99">
        <v>12090.653610900408</v>
      </c>
      <c r="F25" s="99">
        <v>533.90518916869951</v>
      </c>
    </row>
    <row r="26" spans="2:6">
      <c r="B26" s="65" t="s">
        <v>90</v>
      </c>
      <c r="C26" s="100">
        <v>12982.860621610298</v>
      </c>
      <c r="D26" s="100">
        <v>505.69505374409994</v>
      </c>
      <c r="E26" s="100">
        <v>24012.708919340199</v>
      </c>
      <c r="F26" s="100">
        <v>1899.6861750900994</v>
      </c>
    </row>
    <row r="27" spans="2:6">
      <c r="B27" s="28" t="s">
        <v>117</v>
      </c>
      <c r="C27" s="102">
        <v>6264.5079241428994</v>
      </c>
      <c r="D27" s="102">
        <v>706.26674674980006</v>
      </c>
      <c r="E27" s="102">
        <v>11986.0553084397</v>
      </c>
      <c r="F27" s="102">
        <v>1365.7809859214001</v>
      </c>
    </row>
    <row r="28" spans="2:6">
      <c r="B28" s="28" t="s">
        <v>118</v>
      </c>
      <c r="C28" s="101">
        <f t="shared" ref="C28:D28" si="1">+C26/C21</f>
        <v>0.38890729244801658</v>
      </c>
      <c r="D28" s="101">
        <f t="shared" si="1"/>
        <v>9.4630348571690157E-2</v>
      </c>
      <c r="E28" s="101">
        <f>+E26/E21</f>
        <v>0.36929408771446293</v>
      </c>
      <c r="F28" s="101">
        <f>+F26/F21</f>
        <v>0.15075582432471643</v>
      </c>
    </row>
    <row r="29" spans="2:6" ht="30" customHeight="1">
      <c r="B29" s="104" t="s">
        <v>138</v>
      </c>
      <c r="C29" s="66">
        <v>1610.8455342009001</v>
      </c>
      <c r="D29" s="66">
        <v>-160.58191999999997</v>
      </c>
      <c r="E29" s="66">
        <v>2748.8455342009001</v>
      </c>
      <c r="F29" s="66">
        <v>218</v>
      </c>
    </row>
    <row r="30" spans="2:6">
      <c r="B30" s="68" t="s">
        <v>154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Descripción Negocios</vt:lpstr>
      <vt:lpstr>resumen del ejercicio</vt:lpstr>
      <vt:lpstr>distribucion ingresos Ebitda</vt:lpstr>
      <vt:lpstr>Balance</vt:lpstr>
      <vt:lpstr>EERR</vt:lpstr>
      <vt:lpstr>industria</vt:lpstr>
      <vt:lpstr>Terminales Portuarios</vt:lpstr>
      <vt:lpstr>Log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2020-08-24T20:11:44Z</dcterms:modified>
</cp:coreProperties>
</file>